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 summary" sheetId="1" state="visible" r:id="rId1"/>
    <sheet xmlns:r="http://schemas.openxmlformats.org/officeDocument/2006/relationships" name="Jan" sheetId="2" state="visible" r:id="rId2"/>
    <sheet xmlns:r="http://schemas.openxmlformats.org/officeDocument/2006/relationships" name="Feb" sheetId="3" state="visible" r:id="rId3"/>
    <sheet xmlns:r="http://schemas.openxmlformats.org/officeDocument/2006/relationships" name="Mar" sheetId="4" state="visible" r:id="rId4"/>
    <sheet xmlns:r="http://schemas.openxmlformats.org/officeDocument/2006/relationships" name="Apr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" sheetId="7" state="visible" r:id="rId7"/>
    <sheet xmlns:r="http://schemas.openxmlformats.org/officeDocument/2006/relationships" name="Jul" sheetId="8" state="visible" r:id="rId8"/>
    <sheet xmlns:r="http://schemas.openxmlformats.org/officeDocument/2006/relationships" name="Aug" sheetId="9" state="visible" r:id="rId9"/>
    <sheet xmlns:r="http://schemas.openxmlformats.org/officeDocument/2006/relationships" name="Sep" sheetId="10" state="visible" r:id="rId10"/>
    <sheet xmlns:r="http://schemas.openxmlformats.org/officeDocument/2006/relationships" name="Oct" sheetId="11" state="visible" r:id="rId11"/>
    <sheet xmlns:r="http://schemas.openxmlformats.org/officeDocument/2006/relationships" name="Nov" sheetId="12" state="visible" r:id="rId12"/>
    <sheet xmlns:r="http://schemas.openxmlformats.org/officeDocument/2006/relationships" name="Dec" sheetId="13" state="visible" r:id="rId13"/>
  </sheets>
  <definedNames>
    <definedName name="_xlnm.Print_Titles" localSheetId="0">'Year summary'!$6:$6</definedName>
    <definedName name="_xlnm.Print_Titles" localSheetId="1">'Jan'!$5:$5</definedName>
    <definedName name="_xlnm.Print_Titles" localSheetId="2">'Feb'!$5:$5</definedName>
    <definedName name="_xlnm.Print_Titles" localSheetId="3">'Mar'!$5:$5</definedName>
    <definedName name="_xlnm.Print_Titles" localSheetId="4">'Apr'!$5:$5</definedName>
    <definedName name="_xlnm.Print_Titles" localSheetId="5">'May'!$5:$5</definedName>
    <definedName name="_xlnm.Print_Titles" localSheetId="6">'Jun'!$5:$5</definedName>
    <definedName name="_xlnm.Print_Titles" localSheetId="7">'Jul'!$5:$5</definedName>
    <definedName name="_xlnm.Print_Titles" localSheetId="8">'Aug'!$5:$5</definedName>
    <definedName name="_xlnm.Print_Titles" localSheetId="9">'Sep'!$5:$5</definedName>
    <definedName name="_xlnm.Print_Titles" localSheetId="10">'Oct'!$5:$5</definedName>
    <definedName name="_xlnm.Print_Titles" localSheetId="11">'Nov'!$5:$5</definedName>
    <definedName name="_xlnm.Print_Titles" localSheetId="12">'Dec'!$5:$5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horizontal="left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6">
    <dxf>
      <fill>
        <patternFill patternType="solid">
          <fgColor rgb="008C8C86"/>
        </patternFill>
      </fill>
    </dxf>
    <dxf>
      <fill>
        <patternFill patternType="solid">
          <fgColor rgb="00D9F2C2"/>
        </patternFill>
      </fill>
    </dxf>
    <dxf>
      <fill>
        <patternFill patternType="solid">
          <fgColor rgb="00F8D0CC"/>
        </patternFill>
      </fill>
    </dxf>
    <dxf>
      <fill>
        <patternFill patternType="solid">
          <fgColor rgb="00CFE0F7"/>
        </patternFill>
      </fill>
    </dxf>
    <dxf>
      <fill>
        <patternFill patternType="solid">
          <fgColor rgb="00F6B98E"/>
        </patternFill>
      </fill>
    </dxf>
    <dxf>
      <fill>
        <patternFill patternType="solid">
          <fgColor rgb="00E4E4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2" customWidth="1" min="9" max="9"/>
    <col width="12" customWidth="1" min="10" max="10"/>
  </cols>
  <sheetData>
    <row r="1">
      <c r="A1" s="1" t="inlineStr">
        <is>
          <t>Team PTO calendar</t>
        </is>
      </c>
    </row>
    <row r="2">
      <c r="A2" s="2" t="inlineStr">
        <is>
          <t>Type names once here; they appear on every month tab. Mark days off on the month tabs.</t>
        </is>
      </c>
    </row>
    <row r="3">
      <c r="A3" s="3" t="inlineStr">
        <is>
          <t>Year</t>
        </is>
      </c>
      <c r="B3" s="4" t="n">
        <v>2027</v>
      </c>
    </row>
    <row r="4">
      <c r="A4" s="3" t="inlineStr">
        <is>
          <t>Hours in a workday</t>
        </is>
      </c>
      <c r="B4" s="4" t="n">
        <v>8</v>
      </c>
    </row>
    <row r="6">
      <c r="A6" s="5" t="inlineStr">
        <is>
          <t>Employee</t>
        </is>
      </c>
      <c r="B6" s="5" t="inlineStr">
        <is>
          <t>Team or role</t>
        </is>
      </c>
      <c r="C6" s="5" t="inlineStr">
        <is>
          <t>Annual PTO (days)</t>
        </is>
      </c>
      <c r="D6" s="5" t="inlineStr">
        <is>
          <t>V days</t>
        </is>
      </c>
      <c r="E6" s="5" t="inlineStr">
        <is>
          <t>S days</t>
        </is>
      </c>
      <c r="F6" s="5" t="inlineStr">
        <is>
          <t>P days</t>
        </is>
      </c>
      <c r="G6" s="5" t="inlineStr">
        <is>
          <t>F days</t>
        </is>
      </c>
      <c r="H6" s="5" t="inlineStr">
        <is>
          <t>U days</t>
        </is>
      </c>
      <c r="I6" s="5" t="inlineStr">
        <is>
          <t>PTO days left</t>
        </is>
      </c>
      <c r="J6" s="5" t="inlineStr">
        <is>
          <t>PTO hours used</t>
        </is>
      </c>
    </row>
    <row r="7">
      <c r="A7" s="6" t="inlineStr"/>
      <c r="B7" s="6" t="inlineStr"/>
      <c r="C7" s="7" t="n"/>
      <c r="D7" s="8">
        <f>'Jan'!AG7+'Feb'!AG7+'Mar'!AG7+'Apr'!AG7+'May'!AG7+'Jun'!AG7+'Jul'!AG7+'Aug'!AG7+'Sep'!AG7+'Oct'!AG7+'Nov'!AG7+'Dec'!AG7</f>
        <v/>
      </c>
      <c r="E7" s="8">
        <f>'Jan'!AH7+'Feb'!AH7+'Mar'!AH7+'Apr'!AH7+'May'!AH7+'Jun'!AH7+'Jul'!AH7+'Aug'!AH7+'Sep'!AH7+'Oct'!AH7+'Nov'!AH7+'Dec'!AH7</f>
        <v/>
      </c>
      <c r="F7" s="8">
        <f>'Jan'!AI7+'Feb'!AI7+'Mar'!AI7+'Apr'!AI7+'May'!AI7+'Jun'!AI7+'Jul'!AI7+'Aug'!AI7+'Sep'!AI7+'Oct'!AI7+'Nov'!AI7+'Dec'!AI7</f>
        <v/>
      </c>
      <c r="G7" s="8">
        <f>'Jan'!AJ7+'Feb'!AJ7+'Mar'!AJ7+'Apr'!AJ7+'May'!AJ7+'Jun'!AJ7+'Jul'!AJ7+'Aug'!AJ7+'Sep'!AJ7+'Oct'!AJ7+'Nov'!AJ7+'Dec'!AJ7</f>
        <v/>
      </c>
      <c r="H7" s="8">
        <f>'Jan'!AK7+'Feb'!AK7+'Mar'!AK7+'Apr'!AK7+'May'!AK7+'Jun'!AK7+'Jul'!AK7+'Aug'!AK7+'Sep'!AK7+'Oct'!AK7+'Nov'!AK7+'Dec'!AK7</f>
        <v/>
      </c>
      <c r="I7" s="8">
        <f>IF(C7="","",C7-D7-F7)</f>
        <v/>
      </c>
      <c r="J7" s="8">
        <f>(D7+F7)*$B$4</f>
        <v/>
      </c>
    </row>
    <row r="8">
      <c r="A8" s="6" t="inlineStr"/>
      <c r="B8" s="6" t="inlineStr"/>
      <c r="C8" s="7" t="n"/>
      <c r="D8" s="8">
        <f>'Jan'!AG8+'Feb'!AG8+'Mar'!AG8+'Apr'!AG8+'May'!AG8+'Jun'!AG8+'Jul'!AG8+'Aug'!AG8+'Sep'!AG8+'Oct'!AG8+'Nov'!AG8+'Dec'!AG8</f>
        <v/>
      </c>
      <c r="E8" s="8">
        <f>'Jan'!AH8+'Feb'!AH8+'Mar'!AH8+'Apr'!AH8+'May'!AH8+'Jun'!AH8+'Jul'!AH8+'Aug'!AH8+'Sep'!AH8+'Oct'!AH8+'Nov'!AH8+'Dec'!AH8</f>
        <v/>
      </c>
      <c r="F8" s="8">
        <f>'Jan'!AI8+'Feb'!AI8+'Mar'!AI8+'Apr'!AI8+'May'!AI8+'Jun'!AI8+'Jul'!AI8+'Aug'!AI8+'Sep'!AI8+'Oct'!AI8+'Nov'!AI8+'Dec'!AI8</f>
        <v/>
      </c>
      <c r="G8" s="8">
        <f>'Jan'!AJ8+'Feb'!AJ8+'Mar'!AJ8+'Apr'!AJ8+'May'!AJ8+'Jun'!AJ8+'Jul'!AJ8+'Aug'!AJ8+'Sep'!AJ8+'Oct'!AJ8+'Nov'!AJ8+'Dec'!AJ8</f>
        <v/>
      </c>
      <c r="H8" s="8">
        <f>'Jan'!AK8+'Feb'!AK8+'Mar'!AK8+'Apr'!AK8+'May'!AK8+'Jun'!AK8+'Jul'!AK8+'Aug'!AK8+'Sep'!AK8+'Oct'!AK8+'Nov'!AK8+'Dec'!AK8</f>
        <v/>
      </c>
      <c r="I8" s="8">
        <f>IF(C8="","",C8-D8-F8)</f>
        <v/>
      </c>
      <c r="J8" s="8">
        <f>(D8+F8)*$B$4</f>
        <v/>
      </c>
    </row>
    <row r="9">
      <c r="A9" s="6" t="inlineStr"/>
      <c r="B9" s="6" t="inlineStr"/>
      <c r="C9" s="7" t="n"/>
      <c r="D9" s="8">
        <f>'Jan'!AG9+'Feb'!AG9+'Mar'!AG9+'Apr'!AG9+'May'!AG9+'Jun'!AG9+'Jul'!AG9+'Aug'!AG9+'Sep'!AG9+'Oct'!AG9+'Nov'!AG9+'Dec'!AG9</f>
        <v/>
      </c>
      <c r="E9" s="8">
        <f>'Jan'!AH9+'Feb'!AH9+'Mar'!AH9+'Apr'!AH9+'May'!AH9+'Jun'!AH9+'Jul'!AH9+'Aug'!AH9+'Sep'!AH9+'Oct'!AH9+'Nov'!AH9+'Dec'!AH9</f>
        <v/>
      </c>
      <c r="F9" s="8">
        <f>'Jan'!AI9+'Feb'!AI9+'Mar'!AI9+'Apr'!AI9+'May'!AI9+'Jun'!AI9+'Jul'!AI9+'Aug'!AI9+'Sep'!AI9+'Oct'!AI9+'Nov'!AI9+'Dec'!AI9</f>
        <v/>
      </c>
      <c r="G9" s="8">
        <f>'Jan'!AJ9+'Feb'!AJ9+'Mar'!AJ9+'Apr'!AJ9+'May'!AJ9+'Jun'!AJ9+'Jul'!AJ9+'Aug'!AJ9+'Sep'!AJ9+'Oct'!AJ9+'Nov'!AJ9+'Dec'!AJ9</f>
        <v/>
      </c>
      <c r="H9" s="8">
        <f>'Jan'!AK9+'Feb'!AK9+'Mar'!AK9+'Apr'!AK9+'May'!AK9+'Jun'!AK9+'Jul'!AK9+'Aug'!AK9+'Sep'!AK9+'Oct'!AK9+'Nov'!AK9+'Dec'!AK9</f>
        <v/>
      </c>
      <c r="I9" s="8">
        <f>IF(C9="","",C9-D9-F9)</f>
        <v/>
      </c>
      <c r="J9" s="8">
        <f>(D9+F9)*$B$4</f>
        <v/>
      </c>
    </row>
    <row r="10">
      <c r="A10" s="6" t="inlineStr"/>
      <c r="B10" s="6" t="inlineStr"/>
      <c r="C10" s="7" t="n"/>
      <c r="D10" s="8">
        <f>'Jan'!AG10+'Feb'!AG10+'Mar'!AG10+'Apr'!AG10+'May'!AG10+'Jun'!AG10+'Jul'!AG10+'Aug'!AG10+'Sep'!AG10+'Oct'!AG10+'Nov'!AG10+'Dec'!AG10</f>
        <v/>
      </c>
      <c r="E10" s="8">
        <f>'Jan'!AH10+'Feb'!AH10+'Mar'!AH10+'Apr'!AH10+'May'!AH10+'Jun'!AH10+'Jul'!AH10+'Aug'!AH10+'Sep'!AH10+'Oct'!AH10+'Nov'!AH10+'Dec'!AH10</f>
        <v/>
      </c>
      <c r="F10" s="8">
        <f>'Jan'!AI10+'Feb'!AI10+'Mar'!AI10+'Apr'!AI10+'May'!AI10+'Jun'!AI10+'Jul'!AI10+'Aug'!AI10+'Sep'!AI10+'Oct'!AI10+'Nov'!AI10+'Dec'!AI10</f>
        <v/>
      </c>
      <c r="G10" s="8">
        <f>'Jan'!AJ10+'Feb'!AJ10+'Mar'!AJ10+'Apr'!AJ10+'May'!AJ10+'Jun'!AJ10+'Jul'!AJ10+'Aug'!AJ10+'Sep'!AJ10+'Oct'!AJ10+'Nov'!AJ10+'Dec'!AJ10</f>
        <v/>
      </c>
      <c r="H10" s="8">
        <f>'Jan'!AK10+'Feb'!AK10+'Mar'!AK10+'Apr'!AK10+'May'!AK10+'Jun'!AK10+'Jul'!AK10+'Aug'!AK10+'Sep'!AK10+'Oct'!AK10+'Nov'!AK10+'Dec'!AK10</f>
        <v/>
      </c>
      <c r="I10" s="8">
        <f>IF(C10="","",C10-D10-F10)</f>
        <v/>
      </c>
      <c r="J10" s="8">
        <f>(D10+F10)*$B$4</f>
        <v/>
      </c>
    </row>
    <row r="11">
      <c r="A11" s="6" t="inlineStr"/>
      <c r="B11" s="6" t="inlineStr"/>
      <c r="C11" s="7" t="n"/>
      <c r="D11" s="8">
        <f>'Jan'!AG11+'Feb'!AG11+'Mar'!AG11+'Apr'!AG11+'May'!AG11+'Jun'!AG11+'Jul'!AG11+'Aug'!AG11+'Sep'!AG11+'Oct'!AG11+'Nov'!AG11+'Dec'!AG11</f>
        <v/>
      </c>
      <c r="E11" s="8">
        <f>'Jan'!AH11+'Feb'!AH11+'Mar'!AH11+'Apr'!AH11+'May'!AH11+'Jun'!AH11+'Jul'!AH11+'Aug'!AH11+'Sep'!AH11+'Oct'!AH11+'Nov'!AH11+'Dec'!AH11</f>
        <v/>
      </c>
      <c r="F11" s="8">
        <f>'Jan'!AI11+'Feb'!AI11+'Mar'!AI11+'Apr'!AI11+'May'!AI11+'Jun'!AI11+'Jul'!AI11+'Aug'!AI11+'Sep'!AI11+'Oct'!AI11+'Nov'!AI11+'Dec'!AI11</f>
        <v/>
      </c>
      <c r="G11" s="8">
        <f>'Jan'!AJ11+'Feb'!AJ11+'Mar'!AJ11+'Apr'!AJ11+'May'!AJ11+'Jun'!AJ11+'Jul'!AJ11+'Aug'!AJ11+'Sep'!AJ11+'Oct'!AJ11+'Nov'!AJ11+'Dec'!AJ11</f>
        <v/>
      </c>
      <c r="H11" s="8">
        <f>'Jan'!AK11+'Feb'!AK11+'Mar'!AK11+'Apr'!AK11+'May'!AK11+'Jun'!AK11+'Jul'!AK11+'Aug'!AK11+'Sep'!AK11+'Oct'!AK11+'Nov'!AK11+'Dec'!AK11</f>
        <v/>
      </c>
      <c r="I11" s="8">
        <f>IF(C11="","",C11-D11-F11)</f>
        <v/>
      </c>
      <c r="J11" s="8">
        <f>(D11+F11)*$B$4</f>
        <v/>
      </c>
    </row>
    <row r="12">
      <c r="A12" s="6" t="inlineStr"/>
      <c r="B12" s="6" t="inlineStr"/>
      <c r="C12" s="7" t="n"/>
      <c r="D12" s="8">
        <f>'Jan'!AG12+'Feb'!AG12+'Mar'!AG12+'Apr'!AG12+'May'!AG12+'Jun'!AG12+'Jul'!AG12+'Aug'!AG12+'Sep'!AG12+'Oct'!AG12+'Nov'!AG12+'Dec'!AG12</f>
        <v/>
      </c>
      <c r="E12" s="8">
        <f>'Jan'!AH12+'Feb'!AH12+'Mar'!AH12+'Apr'!AH12+'May'!AH12+'Jun'!AH12+'Jul'!AH12+'Aug'!AH12+'Sep'!AH12+'Oct'!AH12+'Nov'!AH12+'Dec'!AH12</f>
        <v/>
      </c>
      <c r="F12" s="8">
        <f>'Jan'!AI12+'Feb'!AI12+'Mar'!AI12+'Apr'!AI12+'May'!AI12+'Jun'!AI12+'Jul'!AI12+'Aug'!AI12+'Sep'!AI12+'Oct'!AI12+'Nov'!AI12+'Dec'!AI12</f>
        <v/>
      </c>
      <c r="G12" s="8">
        <f>'Jan'!AJ12+'Feb'!AJ12+'Mar'!AJ12+'Apr'!AJ12+'May'!AJ12+'Jun'!AJ12+'Jul'!AJ12+'Aug'!AJ12+'Sep'!AJ12+'Oct'!AJ12+'Nov'!AJ12+'Dec'!AJ12</f>
        <v/>
      </c>
      <c r="H12" s="8">
        <f>'Jan'!AK12+'Feb'!AK12+'Mar'!AK12+'Apr'!AK12+'May'!AK12+'Jun'!AK12+'Jul'!AK12+'Aug'!AK12+'Sep'!AK12+'Oct'!AK12+'Nov'!AK12+'Dec'!AK12</f>
        <v/>
      </c>
      <c r="I12" s="8">
        <f>IF(C12="","",C12-D12-F12)</f>
        <v/>
      </c>
      <c r="J12" s="8">
        <f>(D12+F12)*$B$4</f>
        <v/>
      </c>
    </row>
    <row r="13">
      <c r="A13" s="6" t="inlineStr"/>
      <c r="B13" s="6" t="inlineStr"/>
      <c r="C13" s="7" t="n"/>
      <c r="D13" s="8">
        <f>'Jan'!AG13+'Feb'!AG13+'Mar'!AG13+'Apr'!AG13+'May'!AG13+'Jun'!AG13+'Jul'!AG13+'Aug'!AG13+'Sep'!AG13+'Oct'!AG13+'Nov'!AG13+'Dec'!AG13</f>
        <v/>
      </c>
      <c r="E13" s="8">
        <f>'Jan'!AH13+'Feb'!AH13+'Mar'!AH13+'Apr'!AH13+'May'!AH13+'Jun'!AH13+'Jul'!AH13+'Aug'!AH13+'Sep'!AH13+'Oct'!AH13+'Nov'!AH13+'Dec'!AH13</f>
        <v/>
      </c>
      <c r="F13" s="8">
        <f>'Jan'!AI13+'Feb'!AI13+'Mar'!AI13+'Apr'!AI13+'May'!AI13+'Jun'!AI13+'Jul'!AI13+'Aug'!AI13+'Sep'!AI13+'Oct'!AI13+'Nov'!AI13+'Dec'!AI13</f>
        <v/>
      </c>
      <c r="G13" s="8">
        <f>'Jan'!AJ13+'Feb'!AJ13+'Mar'!AJ13+'Apr'!AJ13+'May'!AJ13+'Jun'!AJ13+'Jul'!AJ13+'Aug'!AJ13+'Sep'!AJ13+'Oct'!AJ13+'Nov'!AJ13+'Dec'!AJ13</f>
        <v/>
      </c>
      <c r="H13" s="8">
        <f>'Jan'!AK13+'Feb'!AK13+'Mar'!AK13+'Apr'!AK13+'May'!AK13+'Jun'!AK13+'Jul'!AK13+'Aug'!AK13+'Sep'!AK13+'Oct'!AK13+'Nov'!AK13+'Dec'!AK13</f>
        <v/>
      </c>
      <c r="I13" s="8">
        <f>IF(C13="","",C13-D13-F13)</f>
        <v/>
      </c>
      <c r="J13" s="8">
        <f>(D13+F13)*$B$4</f>
        <v/>
      </c>
    </row>
    <row r="14">
      <c r="A14" s="6" t="inlineStr"/>
      <c r="B14" s="6" t="inlineStr"/>
      <c r="C14" s="7" t="n"/>
      <c r="D14" s="8">
        <f>'Jan'!AG14+'Feb'!AG14+'Mar'!AG14+'Apr'!AG14+'May'!AG14+'Jun'!AG14+'Jul'!AG14+'Aug'!AG14+'Sep'!AG14+'Oct'!AG14+'Nov'!AG14+'Dec'!AG14</f>
        <v/>
      </c>
      <c r="E14" s="8">
        <f>'Jan'!AH14+'Feb'!AH14+'Mar'!AH14+'Apr'!AH14+'May'!AH14+'Jun'!AH14+'Jul'!AH14+'Aug'!AH14+'Sep'!AH14+'Oct'!AH14+'Nov'!AH14+'Dec'!AH14</f>
        <v/>
      </c>
      <c r="F14" s="8">
        <f>'Jan'!AI14+'Feb'!AI14+'Mar'!AI14+'Apr'!AI14+'May'!AI14+'Jun'!AI14+'Jul'!AI14+'Aug'!AI14+'Sep'!AI14+'Oct'!AI14+'Nov'!AI14+'Dec'!AI14</f>
        <v/>
      </c>
      <c r="G14" s="8">
        <f>'Jan'!AJ14+'Feb'!AJ14+'Mar'!AJ14+'Apr'!AJ14+'May'!AJ14+'Jun'!AJ14+'Jul'!AJ14+'Aug'!AJ14+'Sep'!AJ14+'Oct'!AJ14+'Nov'!AJ14+'Dec'!AJ14</f>
        <v/>
      </c>
      <c r="H14" s="8">
        <f>'Jan'!AK14+'Feb'!AK14+'Mar'!AK14+'Apr'!AK14+'May'!AK14+'Jun'!AK14+'Jul'!AK14+'Aug'!AK14+'Sep'!AK14+'Oct'!AK14+'Nov'!AK14+'Dec'!AK14</f>
        <v/>
      </c>
      <c r="I14" s="8">
        <f>IF(C14="","",C14-D14-F14)</f>
        <v/>
      </c>
      <c r="J14" s="8">
        <f>(D14+F14)*$B$4</f>
        <v/>
      </c>
    </row>
    <row r="15">
      <c r="A15" s="6" t="inlineStr"/>
      <c r="B15" s="6" t="inlineStr"/>
      <c r="C15" s="7" t="n"/>
      <c r="D15" s="8">
        <f>'Jan'!AG15+'Feb'!AG15+'Mar'!AG15+'Apr'!AG15+'May'!AG15+'Jun'!AG15+'Jul'!AG15+'Aug'!AG15+'Sep'!AG15+'Oct'!AG15+'Nov'!AG15+'Dec'!AG15</f>
        <v/>
      </c>
      <c r="E15" s="8">
        <f>'Jan'!AH15+'Feb'!AH15+'Mar'!AH15+'Apr'!AH15+'May'!AH15+'Jun'!AH15+'Jul'!AH15+'Aug'!AH15+'Sep'!AH15+'Oct'!AH15+'Nov'!AH15+'Dec'!AH15</f>
        <v/>
      </c>
      <c r="F15" s="8">
        <f>'Jan'!AI15+'Feb'!AI15+'Mar'!AI15+'Apr'!AI15+'May'!AI15+'Jun'!AI15+'Jul'!AI15+'Aug'!AI15+'Sep'!AI15+'Oct'!AI15+'Nov'!AI15+'Dec'!AI15</f>
        <v/>
      </c>
      <c r="G15" s="8">
        <f>'Jan'!AJ15+'Feb'!AJ15+'Mar'!AJ15+'Apr'!AJ15+'May'!AJ15+'Jun'!AJ15+'Jul'!AJ15+'Aug'!AJ15+'Sep'!AJ15+'Oct'!AJ15+'Nov'!AJ15+'Dec'!AJ15</f>
        <v/>
      </c>
      <c r="H15" s="8">
        <f>'Jan'!AK15+'Feb'!AK15+'Mar'!AK15+'Apr'!AK15+'May'!AK15+'Jun'!AK15+'Jul'!AK15+'Aug'!AK15+'Sep'!AK15+'Oct'!AK15+'Nov'!AK15+'Dec'!AK15</f>
        <v/>
      </c>
      <c r="I15" s="8">
        <f>IF(C15="","",C15-D15-F15)</f>
        <v/>
      </c>
      <c r="J15" s="8">
        <f>(D15+F15)*$B$4</f>
        <v/>
      </c>
    </row>
    <row r="16">
      <c r="A16" s="6" t="inlineStr"/>
      <c r="B16" s="6" t="inlineStr"/>
      <c r="C16" s="7" t="n"/>
      <c r="D16" s="8">
        <f>'Jan'!AG16+'Feb'!AG16+'Mar'!AG16+'Apr'!AG16+'May'!AG16+'Jun'!AG16+'Jul'!AG16+'Aug'!AG16+'Sep'!AG16+'Oct'!AG16+'Nov'!AG16+'Dec'!AG16</f>
        <v/>
      </c>
      <c r="E16" s="8">
        <f>'Jan'!AH16+'Feb'!AH16+'Mar'!AH16+'Apr'!AH16+'May'!AH16+'Jun'!AH16+'Jul'!AH16+'Aug'!AH16+'Sep'!AH16+'Oct'!AH16+'Nov'!AH16+'Dec'!AH16</f>
        <v/>
      </c>
      <c r="F16" s="8">
        <f>'Jan'!AI16+'Feb'!AI16+'Mar'!AI16+'Apr'!AI16+'May'!AI16+'Jun'!AI16+'Jul'!AI16+'Aug'!AI16+'Sep'!AI16+'Oct'!AI16+'Nov'!AI16+'Dec'!AI16</f>
        <v/>
      </c>
      <c r="G16" s="8">
        <f>'Jan'!AJ16+'Feb'!AJ16+'Mar'!AJ16+'Apr'!AJ16+'May'!AJ16+'Jun'!AJ16+'Jul'!AJ16+'Aug'!AJ16+'Sep'!AJ16+'Oct'!AJ16+'Nov'!AJ16+'Dec'!AJ16</f>
        <v/>
      </c>
      <c r="H16" s="8">
        <f>'Jan'!AK16+'Feb'!AK16+'Mar'!AK16+'Apr'!AK16+'May'!AK16+'Jun'!AK16+'Jul'!AK16+'Aug'!AK16+'Sep'!AK16+'Oct'!AK16+'Nov'!AK16+'Dec'!AK16</f>
        <v/>
      </c>
      <c r="I16" s="8">
        <f>IF(C16="","",C16-D16-F16)</f>
        <v/>
      </c>
      <c r="J16" s="8">
        <f>(D16+F16)*$B$4</f>
        <v/>
      </c>
    </row>
    <row r="17">
      <c r="A17" s="6" t="inlineStr"/>
      <c r="B17" s="6" t="inlineStr"/>
      <c r="C17" s="7" t="n"/>
      <c r="D17" s="8">
        <f>'Jan'!AG17+'Feb'!AG17+'Mar'!AG17+'Apr'!AG17+'May'!AG17+'Jun'!AG17+'Jul'!AG17+'Aug'!AG17+'Sep'!AG17+'Oct'!AG17+'Nov'!AG17+'Dec'!AG17</f>
        <v/>
      </c>
      <c r="E17" s="8">
        <f>'Jan'!AH17+'Feb'!AH17+'Mar'!AH17+'Apr'!AH17+'May'!AH17+'Jun'!AH17+'Jul'!AH17+'Aug'!AH17+'Sep'!AH17+'Oct'!AH17+'Nov'!AH17+'Dec'!AH17</f>
        <v/>
      </c>
      <c r="F17" s="8">
        <f>'Jan'!AI17+'Feb'!AI17+'Mar'!AI17+'Apr'!AI17+'May'!AI17+'Jun'!AI17+'Jul'!AI17+'Aug'!AI17+'Sep'!AI17+'Oct'!AI17+'Nov'!AI17+'Dec'!AI17</f>
        <v/>
      </c>
      <c r="G17" s="8">
        <f>'Jan'!AJ17+'Feb'!AJ17+'Mar'!AJ17+'Apr'!AJ17+'May'!AJ17+'Jun'!AJ17+'Jul'!AJ17+'Aug'!AJ17+'Sep'!AJ17+'Oct'!AJ17+'Nov'!AJ17+'Dec'!AJ17</f>
        <v/>
      </c>
      <c r="H17" s="8">
        <f>'Jan'!AK17+'Feb'!AK17+'Mar'!AK17+'Apr'!AK17+'May'!AK17+'Jun'!AK17+'Jul'!AK17+'Aug'!AK17+'Sep'!AK17+'Oct'!AK17+'Nov'!AK17+'Dec'!AK17</f>
        <v/>
      </c>
      <c r="I17" s="8">
        <f>IF(C17="","",C17-D17-F17)</f>
        <v/>
      </c>
      <c r="J17" s="8">
        <f>(D17+F17)*$B$4</f>
        <v/>
      </c>
    </row>
    <row r="18">
      <c r="A18" s="6" t="inlineStr"/>
      <c r="B18" s="6" t="inlineStr"/>
      <c r="C18" s="7" t="n"/>
      <c r="D18" s="8">
        <f>'Jan'!AG18+'Feb'!AG18+'Mar'!AG18+'Apr'!AG18+'May'!AG18+'Jun'!AG18+'Jul'!AG18+'Aug'!AG18+'Sep'!AG18+'Oct'!AG18+'Nov'!AG18+'Dec'!AG18</f>
        <v/>
      </c>
      <c r="E18" s="8">
        <f>'Jan'!AH18+'Feb'!AH18+'Mar'!AH18+'Apr'!AH18+'May'!AH18+'Jun'!AH18+'Jul'!AH18+'Aug'!AH18+'Sep'!AH18+'Oct'!AH18+'Nov'!AH18+'Dec'!AH18</f>
        <v/>
      </c>
      <c r="F18" s="8">
        <f>'Jan'!AI18+'Feb'!AI18+'Mar'!AI18+'Apr'!AI18+'May'!AI18+'Jun'!AI18+'Jul'!AI18+'Aug'!AI18+'Sep'!AI18+'Oct'!AI18+'Nov'!AI18+'Dec'!AI18</f>
        <v/>
      </c>
      <c r="G18" s="8">
        <f>'Jan'!AJ18+'Feb'!AJ18+'Mar'!AJ18+'Apr'!AJ18+'May'!AJ18+'Jun'!AJ18+'Jul'!AJ18+'Aug'!AJ18+'Sep'!AJ18+'Oct'!AJ18+'Nov'!AJ18+'Dec'!AJ18</f>
        <v/>
      </c>
      <c r="H18" s="8">
        <f>'Jan'!AK18+'Feb'!AK18+'Mar'!AK18+'Apr'!AK18+'May'!AK18+'Jun'!AK18+'Jul'!AK18+'Aug'!AK18+'Sep'!AK18+'Oct'!AK18+'Nov'!AK18+'Dec'!AK18</f>
        <v/>
      </c>
      <c r="I18" s="8">
        <f>IF(C18="","",C18-D18-F18)</f>
        <v/>
      </c>
      <c r="J18" s="8">
        <f>(D18+F18)*$B$4</f>
        <v/>
      </c>
    </row>
    <row r="19">
      <c r="A19" s="6" t="inlineStr"/>
      <c r="B19" s="6" t="inlineStr"/>
      <c r="C19" s="7" t="n"/>
      <c r="D19" s="8">
        <f>'Jan'!AG19+'Feb'!AG19+'Mar'!AG19+'Apr'!AG19+'May'!AG19+'Jun'!AG19+'Jul'!AG19+'Aug'!AG19+'Sep'!AG19+'Oct'!AG19+'Nov'!AG19+'Dec'!AG19</f>
        <v/>
      </c>
      <c r="E19" s="8">
        <f>'Jan'!AH19+'Feb'!AH19+'Mar'!AH19+'Apr'!AH19+'May'!AH19+'Jun'!AH19+'Jul'!AH19+'Aug'!AH19+'Sep'!AH19+'Oct'!AH19+'Nov'!AH19+'Dec'!AH19</f>
        <v/>
      </c>
      <c r="F19" s="8">
        <f>'Jan'!AI19+'Feb'!AI19+'Mar'!AI19+'Apr'!AI19+'May'!AI19+'Jun'!AI19+'Jul'!AI19+'Aug'!AI19+'Sep'!AI19+'Oct'!AI19+'Nov'!AI19+'Dec'!AI19</f>
        <v/>
      </c>
      <c r="G19" s="8">
        <f>'Jan'!AJ19+'Feb'!AJ19+'Mar'!AJ19+'Apr'!AJ19+'May'!AJ19+'Jun'!AJ19+'Jul'!AJ19+'Aug'!AJ19+'Sep'!AJ19+'Oct'!AJ19+'Nov'!AJ19+'Dec'!AJ19</f>
        <v/>
      </c>
      <c r="H19" s="8">
        <f>'Jan'!AK19+'Feb'!AK19+'Mar'!AK19+'Apr'!AK19+'May'!AK19+'Jun'!AK19+'Jul'!AK19+'Aug'!AK19+'Sep'!AK19+'Oct'!AK19+'Nov'!AK19+'Dec'!AK19</f>
        <v/>
      </c>
      <c r="I19" s="8">
        <f>IF(C19="","",C19-D19-F19)</f>
        <v/>
      </c>
      <c r="J19" s="8">
        <f>(D19+F19)*$B$4</f>
        <v/>
      </c>
    </row>
    <row r="20">
      <c r="A20" s="6" t="inlineStr"/>
      <c r="B20" s="6" t="inlineStr"/>
      <c r="C20" s="7" t="n"/>
      <c r="D20" s="8">
        <f>'Jan'!AG20+'Feb'!AG20+'Mar'!AG20+'Apr'!AG20+'May'!AG20+'Jun'!AG20+'Jul'!AG20+'Aug'!AG20+'Sep'!AG20+'Oct'!AG20+'Nov'!AG20+'Dec'!AG20</f>
        <v/>
      </c>
      <c r="E20" s="8">
        <f>'Jan'!AH20+'Feb'!AH20+'Mar'!AH20+'Apr'!AH20+'May'!AH20+'Jun'!AH20+'Jul'!AH20+'Aug'!AH20+'Sep'!AH20+'Oct'!AH20+'Nov'!AH20+'Dec'!AH20</f>
        <v/>
      </c>
      <c r="F20" s="8">
        <f>'Jan'!AI20+'Feb'!AI20+'Mar'!AI20+'Apr'!AI20+'May'!AI20+'Jun'!AI20+'Jul'!AI20+'Aug'!AI20+'Sep'!AI20+'Oct'!AI20+'Nov'!AI20+'Dec'!AI20</f>
        <v/>
      </c>
      <c r="G20" s="8">
        <f>'Jan'!AJ20+'Feb'!AJ20+'Mar'!AJ20+'Apr'!AJ20+'May'!AJ20+'Jun'!AJ20+'Jul'!AJ20+'Aug'!AJ20+'Sep'!AJ20+'Oct'!AJ20+'Nov'!AJ20+'Dec'!AJ20</f>
        <v/>
      </c>
      <c r="H20" s="8">
        <f>'Jan'!AK20+'Feb'!AK20+'Mar'!AK20+'Apr'!AK20+'May'!AK20+'Jun'!AK20+'Jul'!AK20+'Aug'!AK20+'Sep'!AK20+'Oct'!AK20+'Nov'!AK20+'Dec'!AK20</f>
        <v/>
      </c>
      <c r="I20" s="8">
        <f>IF(C20="","",C20-D20-F20)</f>
        <v/>
      </c>
      <c r="J20" s="8">
        <f>(D20+F20)*$B$4</f>
        <v/>
      </c>
    </row>
    <row r="21">
      <c r="A21" s="6" t="inlineStr"/>
      <c r="B21" s="6" t="inlineStr"/>
      <c r="C21" s="7" t="n"/>
      <c r="D21" s="8">
        <f>'Jan'!AG21+'Feb'!AG21+'Mar'!AG21+'Apr'!AG21+'May'!AG21+'Jun'!AG21+'Jul'!AG21+'Aug'!AG21+'Sep'!AG21+'Oct'!AG21+'Nov'!AG21+'Dec'!AG21</f>
        <v/>
      </c>
      <c r="E21" s="8">
        <f>'Jan'!AH21+'Feb'!AH21+'Mar'!AH21+'Apr'!AH21+'May'!AH21+'Jun'!AH21+'Jul'!AH21+'Aug'!AH21+'Sep'!AH21+'Oct'!AH21+'Nov'!AH21+'Dec'!AH21</f>
        <v/>
      </c>
      <c r="F21" s="8">
        <f>'Jan'!AI21+'Feb'!AI21+'Mar'!AI21+'Apr'!AI21+'May'!AI21+'Jun'!AI21+'Jul'!AI21+'Aug'!AI21+'Sep'!AI21+'Oct'!AI21+'Nov'!AI21+'Dec'!AI21</f>
        <v/>
      </c>
      <c r="G21" s="8">
        <f>'Jan'!AJ21+'Feb'!AJ21+'Mar'!AJ21+'Apr'!AJ21+'May'!AJ21+'Jun'!AJ21+'Jul'!AJ21+'Aug'!AJ21+'Sep'!AJ21+'Oct'!AJ21+'Nov'!AJ21+'Dec'!AJ21</f>
        <v/>
      </c>
      <c r="H21" s="8">
        <f>'Jan'!AK21+'Feb'!AK21+'Mar'!AK21+'Apr'!AK21+'May'!AK21+'Jun'!AK21+'Jul'!AK21+'Aug'!AK21+'Sep'!AK21+'Oct'!AK21+'Nov'!AK21+'Dec'!AK21</f>
        <v/>
      </c>
      <c r="I21" s="8">
        <f>IF(C21="","",C21-D21-F21)</f>
        <v/>
      </c>
      <c r="J21" s="8">
        <f>(D21+F21)*$B$4</f>
        <v/>
      </c>
    </row>
    <row r="22">
      <c r="A22" s="6" t="inlineStr"/>
      <c r="B22" s="6" t="inlineStr"/>
      <c r="C22" s="7" t="n"/>
      <c r="D22" s="8">
        <f>'Jan'!AG22+'Feb'!AG22+'Mar'!AG22+'Apr'!AG22+'May'!AG22+'Jun'!AG22+'Jul'!AG22+'Aug'!AG22+'Sep'!AG22+'Oct'!AG22+'Nov'!AG22+'Dec'!AG22</f>
        <v/>
      </c>
      <c r="E22" s="8">
        <f>'Jan'!AH22+'Feb'!AH22+'Mar'!AH22+'Apr'!AH22+'May'!AH22+'Jun'!AH22+'Jul'!AH22+'Aug'!AH22+'Sep'!AH22+'Oct'!AH22+'Nov'!AH22+'Dec'!AH22</f>
        <v/>
      </c>
      <c r="F22" s="8">
        <f>'Jan'!AI22+'Feb'!AI22+'Mar'!AI22+'Apr'!AI22+'May'!AI22+'Jun'!AI22+'Jul'!AI22+'Aug'!AI22+'Sep'!AI22+'Oct'!AI22+'Nov'!AI22+'Dec'!AI22</f>
        <v/>
      </c>
      <c r="G22" s="8">
        <f>'Jan'!AJ22+'Feb'!AJ22+'Mar'!AJ22+'Apr'!AJ22+'May'!AJ22+'Jun'!AJ22+'Jul'!AJ22+'Aug'!AJ22+'Sep'!AJ22+'Oct'!AJ22+'Nov'!AJ22+'Dec'!AJ22</f>
        <v/>
      </c>
      <c r="H22" s="8">
        <f>'Jan'!AK22+'Feb'!AK22+'Mar'!AK22+'Apr'!AK22+'May'!AK22+'Jun'!AK22+'Jul'!AK22+'Aug'!AK22+'Sep'!AK22+'Oct'!AK22+'Nov'!AK22+'Dec'!AK22</f>
        <v/>
      </c>
      <c r="I22" s="8">
        <f>IF(C22="","",C22-D22-F22)</f>
        <v/>
      </c>
      <c r="J22" s="8">
        <f>(D22+F22)*$B$4</f>
        <v/>
      </c>
    </row>
    <row r="23">
      <c r="A23" s="6" t="inlineStr"/>
      <c r="B23" s="6" t="inlineStr"/>
      <c r="C23" s="7" t="n"/>
      <c r="D23" s="8">
        <f>'Jan'!AG23+'Feb'!AG23+'Mar'!AG23+'Apr'!AG23+'May'!AG23+'Jun'!AG23+'Jul'!AG23+'Aug'!AG23+'Sep'!AG23+'Oct'!AG23+'Nov'!AG23+'Dec'!AG23</f>
        <v/>
      </c>
      <c r="E23" s="8">
        <f>'Jan'!AH23+'Feb'!AH23+'Mar'!AH23+'Apr'!AH23+'May'!AH23+'Jun'!AH23+'Jul'!AH23+'Aug'!AH23+'Sep'!AH23+'Oct'!AH23+'Nov'!AH23+'Dec'!AH23</f>
        <v/>
      </c>
      <c r="F23" s="8">
        <f>'Jan'!AI23+'Feb'!AI23+'Mar'!AI23+'Apr'!AI23+'May'!AI23+'Jun'!AI23+'Jul'!AI23+'Aug'!AI23+'Sep'!AI23+'Oct'!AI23+'Nov'!AI23+'Dec'!AI23</f>
        <v/>
      </c>
      <c r="G23" s="8">
        <f>'Jan'!AJ23+'Feb'!AJ23+'Mar'!AJ23+'Apr'!AJ23+'May'!AJ23+'Jun'!AJ23+'Jul'!AJ23+'Aug'!AJ23+'Sep'!AJ23+'Oct'!AJ23+'Nov'!AJ23+'Dec'!AJ23</f>
        <v/>
      </c>
      <c r="H23" s="8">
        <f>'Jan'!AK23+'Feb'!AK23+'Mar'!AK23+'Apr'!AK23+'May'!AK23+'Jun'!AK23+'Jul'!AK23+'Aug'!AK23+'Sep'!AK23+'Oct'!AK23+'Nov'!AK23+'Dec'!AK23</f>
        <v/>
      </c>
      <c r="I23" s="8">
        <f>IF(C23="","",C23-D23-F23)</f>
        <v/>
      </c>
      <c r="J23" s="8">
        <f>(D23+F23)*$B$4</f>
        <v/>
      </c>
    </row>
    <row r="24">
      <c r="A24" s="6" t="inlineStr"/>
      <c r="B24" s="6" t="inlineStr"/>
      <c r="C24" s="7" t="n"/>
      <c r="D24" s="8">
        <f>'Jan'!AG24+'Feb'!AG24+'Mar'!AG24+'Apr'!AG24+'May'!AG24+'Jun'!AG24+'Jul'!AG24+'Aug'!AG24+'Sep'!AG24+'Oct'!AG24+'Nov'!AG24+'Dec'!AG24</f>
        <v/>
      </c>
      <c r="E24" s="8">
        <f>'Jan'!AH24+'Feb'!AH24+'Mar'!AH24+'Apr'!AH24+'May'!AH24+'Jun'!AH24+'Jul'!AH24+'Aug'!AH24+'Sep'!AH24+'Oct'!AH24+'Nov'!AH24+'Dec'!AH24</f>
        <v/>
      </c>
      <c r="F24" s="8">
        <f>'Jan'!AI24+'Feb'!AI24+'Mar'!AI24+'Apr'!AI24+'May'!AI24+'Jun'!AI24+'Jul'!AI24+'Aug'!AI24+'Sep'!AI24+'Oct'!AI24+'Nov'!AI24+'Dec'!AI24</f>
        <v/>
      </c>
      <c r="G24" s="8">
        <f>'Jan'!AJ24+'Feb'!AJ24+'Mar'!AJ24+'Apr'!AJ24+'May'!AJ24+'Jun'!AJ24+'Jul'!AJ24+'Aug'!AJ24+'Sep'!AJ24+'Oct'!AJ24+'Nov'!AJ24+'Dec'!AJ24</f>
        <v/>
      </c>
      <c r="H24" s="8">
        <f>'Jan'!AK24+'Feb'!AK24+'Mar'!AK24+'Apr'!AK24+'May'!AK24+'Jun'!AK24+'Jul'!AK24+'Aug'!AK24+'Sep'!AK24+'Oct'!AK24+'Nov'!AK24+'Dec'!AK24</f>
        <v/>
      </c>
      <c r="I24" s="8">
        <f>IF(C24="","",C24-D24-F24)</f>
        <v/>
      </c>
      <c r="J24" s="8">
        <f>(D24+F24)*$B$4</f>
        <v/>
      </c>
    </row>
    <row r="25">
      <c r="A25" s="6" t="inlineStr"/>
      <c r="B25" s="6" t="inlineStr"/>
      <c r="C25" s="7" t="n"/>
      <c r="D25" s="8">
        <f>'Jan'!AG25+'Feb'!AG25+'Mar'!AG25+'Apr'!AG25+'May'!AG25+'Jun'!AG25+'Jul'!AG25+'Aug'!AG25+'Sep'!AG25+'Oct'!AG25+'Nov'!AG25+'Dec'!AG25</f>
        <v/>
      </c>
      <c r="E25" s="8">
        <f>'Jan'!AH25+'Feb'!AH25+'Mar'!AH25+'Apr'!AH25+'May'!AH25+'Jun'!AH25+'Jul'!AH25+'Aug'!AH25+'Sep'!AH25+'Oct'!AH25+'Nov'!AH25+'Dec'!AH25</f>
        <v/>
      </c>
      <c r="F25" s="8">
        <f>'Jan'!AI25+'Feb'!AI25+'Mar'!AI25+'Apr'!AI25+'May'!AI25+'Jun'!AI25+'Jul'!AI25+'Aug'!AI25+'Sep'!AI25+'Oct'!AI25+'Nov'!AI25+'Dec'!AI25</f>
        <v/>
      </c>
      <c r="G25" s="8">
        <f>'Jan'!AJ25+'Feb'!AJ25+'Mar'!AJ25+'Apr'!AJ25+'May'!AJ25+'Jun'!AJ25+'Jul'!AJ25+'Aug'!AJ25+'Sep'!AJ25+'Oct'!AJ25+'Nov'!AJ25+'Dec'!AJ25</f>
        <v/>
      </c>
      <c r="H25" s="8">
        <f>'Jan'!AK25+'Feb'!AK25+'Mar'!AK25+'Apr'!AK25+'May'!AK25+'Jun'!AK25+'Jul'!AK25+'Aug'!AK25+'Sep'!AK25+'Oct'!AK25+'Nov'!AK25+'Dec'!AK25</f>
        <v/>
      </c>
      <c r="I25" s="8">
        <f>IF(C25="","",C25-D25-F25)</f>
        <v/>
      </c>
      <c r="J25" s="8">
        <f>(D25+F25)*$B$4</f>
        <v/>
      </c>
    </row>
    <row r="26">
      <c r="A26" s="6" t="inlineStr"/>
      <c r="B26" s="6" t="inlineStr"/>
      <c r="C26" s="7" t="n"/>
      <c r="D26" s="8">
        <f>'Jan'!AG26+'Feb'!AG26+'Mar'!AG26+'Apr'!AG26+'May'!AG26+'Jun'!AG26+'Jul'!AG26+'Aug'!AG26+'Sep'!AG26+'Oct'!AG26+'Nov'!AG26+'Dec'!AG26</f>
        <v/>
      </c>
      <c r="E26" s="8">
        <f>'Jan'!AH26+'Feb'!AH26+'Mar'!AH26+'Apr'!AH26+'May'!AH26+'Jun'!AH26+'Jul'!AH26+'Aug'!AH26+'Sep'!AH26+'Oct'!AH26+'Nov'!AH26+'Dec'!AH26</f>
        <v/>
      </c>
      <c r="F26" s="8">
        <f>'Jan'!AI26+'Feb'!AI26+'Mar'!AI26+'Apr'!AI26+'May'!AI26+'Jun'!AI26+'Jul'!AI26+'Aug'!AI26+'Sep'!AI26+'Oct'!AI26+'Nov'!AI26+'Dec'!AI26</f>
        <v/>
      </c>
      <c r="G26" s="8">
        <f>'Jan'!AJ26+'Feb'!AJ26+'Mar'!AJ26+'Apr'!AJ26+'May'!AJ26+'Jun'!AJ26+'Jul'!AJ26+'Aug'!AJ26+'Sep'!AJ26+'Oct'!AJ26+'Nov'!AJ26+'Dec'!AJ26</f>
        <v/>
      </c>
      <c r="H26" s="8">
        <f>'Jan'!AK26+'Feb'!AK26+'Mar'!AK26+'Apr'!AK26+'May'!AK26+'Jun'!AK26+'Jul'!AK26+'Aug'!AK26+'Sep'!AK26+'Oct'!AK26+'Nov'!AK26+'Dec'!AK26</f>
        <v/>
      </c>
      <c r="I26" s="8">
        <f>IF(C26="","",C26-D26-F26)</f>
        <v/>
      </c>
      <c r="J26" s="8">
        <f>(D26+F26)*$B$4</f>
        <v/>
      </c>
    </row>
    <row r="29">
      <c r="A29" s="5" t="inlineStr">
        <is>
          <t>Company holidays (edit)</t>
        </is>
      </c>
      <c r="B29" s="5" t="inlineStr">
        <is>
          <t>Holiday</t>
        </is>
      </c>
    </row>
    <row r="30">
      <c r="A30" s="9" t="n">
        <v>46023</v>
      </c>
      <c r="B30" s="6" t="inlineStr">
        <is>
          <t>New Year's Day</t>
        </is>
      </c>
    </row>
    <row r="31">
      <c r="A31" s="9" t="n">
        <v>46041</v>
      </c>
      <c r="B31" s="6" t="inlineStr">
        <is>
          <t>Martin Luther King Jr. Day</t>
        </is>
      </c>
    </row>
    <row r="32">
      <c r="A32" s="9" t="n">
        <v>46069</v>
      </c>
      <c r="B32" s="6" t="inlineStr">
        <is>
          <t>Washington's Birthday</t>
        </is>
      </c>
    </row>
    <row r="33">
      <c r="A33" s="9" t="n">
        <v>46167</v>
      </c>
      <c r="B33" s="6" t="inlineStr">
        <is>
          <t>Memorial Day</t>
        </is>
      </c>
    </row>
    <row r="34">
      <c r="A34" s="9" t="n">
        <v>46192</v>
      </c>
      <c r="B34" s="6" t="inlineStr">
        <is>
          <t>Juneteenth</t>
        </is>
      </c>
    </row>
    <row r="35">
      <c r="A35" s="9" t="n">
        <v>46206</v>
      </c>
      <c r="B35" s="6" t="inlineStr">
        <is>
          <t>Independence Day (observed)</t>
        </is>
      </c>
    </row>
    <row r="36">
      <c r="A36" s="9" t="n">
        <v>46272</v>
      </c>
      <c r="B36" s="6" t="inlineStr">
        <is>
          <t>Labor Day</t>
        </is>
      </c>
    </row>
    <row r="37">
      <c r="A37" s="9" t="n">
        <v>46307</v>
      </c>
      <c r="B37" s="6" t="inlineStr">
        <is>
          <t>Columbus Day</t>
        </is>
      </c>
    </row>
    <row r="38">
      <c r="A38" s="9" t="n">
        <v>46337</v>
      </c>
      <c r="B38" s="6" t="inlineStr">
        <is>
          <t>Veterans Day</t>
        </is>
      </c>
    </row>
    <row r="39">
      <c r="A39" s="9" t="n">
        <v>46352</v>
      </c>
      <c r="B39" s="6" t="inlineStr">
        <is>
          <t>Thanksgiving Day</t>
        </is>
      </c>
    </row>
    <row r="40">
      <c r="A40" s="9" t="n">
        <v>46381</v>
      </c>
      <c r="B40" s="6" t="inlineStr">
        <is>
          <t>Christmas Day</t>
        </is>
      </c>
    </row>
    <row r="41">
      <c r="A41" s="9" t="n">
        <v>46388</v>
      </c>
      <c r="B41" s="6" t="inlineStr">
        <is>
          <t>New Year's Day</t>
        </is>
      </c>
    </row>
    <row r="42">
      <c r="A42" s="9" t="n">
        <v>46405</v>
      </c>
      <c r="B42" s="6" t="inlineStr">
        <is>
          <t>Martin Luther King Jr. Day</t>
        </is>
      </c>
    </row>
    <row r="43">
      <c r="A43" s="9" t="n">
        <v>46433</v>
      </c>
      <c r="B43" s="6" t="inlineStr">
        <is>
          <t>Washington's Birthday</t>
        </is>
      </c>
    </row>
    <row r="44">
      <c r="A44" s="9" t="n">
        <v>46538</v>
      </c>
      <c r="B44" s="6" t="inlineStr">
        <is>
          <t>Memorial Day</t>
        </is>
      </c>
    </row>
    <row r="45">
      <c r="A45" s="9" t="n">
        <v>46556</v>
      </c>
      <c r="B45" s="6" t="inlineStr">
        <is>
          <t>Juneteenth (observed)</t>
        </is>
      </c>
    </row>
    <row r="46">
      <c r="A46" s="9" t="n">
        <v>46573</v>
      </c>
      <c r="B46" s="6" t="inlineStr">
        <is>
          <t>Independence Day (observed)</t>
        </is>
      </c>
    </row>
    <row r="47">
      <c r="A47" s="9" t="n">
        <v>46636</v>
      </c>
      <c r="B47" s="6" t="inlineStr">
        <is>
          <t>Labor Day</t>
        </is>
      </c>
    </row>
    <row r="48">
      <c r="A48" s="9" t="n">
        <v>46671</v>
      </c>
      <c r="B48" s="6" t="inlineStr">
        <is>
          <t>Columbus Day</t>
        </is>
      </c>
    </row>
    <row r="49">
      <c r="A49" s="9" t="n">
        <v>46702</v>
      </c>
      <c r="B49" s="6" t="inlineStr">
        <is>
          <t>Veterans Day</t>
        </is>
      </c>
    </row>
    <row r="50">
      <c r="A50" s="9" t="n">
        <v>46716</v>
      </c>
      <c r="B50" s="6" t="inlineStr">
        <is>
          <t>Thanksgiving Day</t>
        </is>
      </c>
    </row>
    <row r="51">
      <c r="A51" s="9" t="n">
        <v>46745</v>
      </c>
      <c r="B51" s="6" t="inlineStr">
        <is>
          <t>Christmas Day (observed)</t>
        </is>
      </c>
    </row>
    <row r="52">
      <c r="A52" s="9" t="n"/>
      <c r="B52" s="6" t="inlineStr"/>
    </row>
    <row r="53">
      <c r="A53" s="9" t="n"/>
      <c r="B53" s="6" t="inlineStr"/>
    </row>
    <row r="54">
      <c r="A54" s="9" t="n"/>
      <c r="B54" s="6" t="inlineStr"/>
    </row>
    <row r="55">
      <c r="A55" s="9" t="n"/>
      <c r="B55" s="6" t="inlineStr"/>
    </row>
    <row r="56">
      <c r="A56" s="9" t="n"/>
      <c r="B56" s="6" t="inlineStr"/>
    </row>
    <row r="57">
      <c r="A57" s="9" t="n"/>
      <c r="B57" s="6" t="inlineStr"/>
    </row>
    <row r="58">
      <c r="A58" s="9" t="n"/>
      <c r="B58" s="6" t="inlineStr"/>
    </row>
    <row r="61">
      <c r="A61" s="10" t="inlineStr">
        <is>
          <t>Codes on the month tabs: V = Vacation or PTO   S = Sick   P = Personal   F = FMLA or other leave   U = Unpaid. PTO days left = annual PTO - vacation/PTO days - personal days. Half days: type the code and adjust the total by hand.</t>
        </is>
      </c>
    </row>
    <row r="62">
      <c r="A62" s="10" t="inlineStr">
        <is>
          <t>The holiday list starts with the 2026 and 2027 US federal holidays as observed; replace it with the holidays your business actually closes for.</t>
        </is>
      </c>
    </row>
    <row r="64">
      <c r="A64" s="11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January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summary'!$B$3,1,1))&lt;&gt;1,"",1)</f>
        <v/>
      </c>
      <c r="C4" s="5">
        <f>IF(MONTH(DATE('Year summary'!$B$3,1,2))&lt;&gt;1,"",2)</f>
        <v/>
      </c>
      <c r="D4" s="5">
        <f>IF(MONTH(DATE('Year summary'!$B$3,1,3))&lt;&gt;1,"",3)</f>
        <v/>
      </c>
      <c r="E4" s="5">
        <f>IF(MONTH(DATE('Year summary'!$B$3,1,4))&lt;&gt;1,"",4)</f>
        <v/>
      </c>
      <c r="F4" s="5">
        <f>IF(MONTH(DATE('Year summary'!$B$3,1,5))&lt;&gt;1,"",5)</f>
        <v/>
      </c>
      <c r="G4" s="5">
        <f>IF(MONTH(DATE('Year summary'!$B$3,1,6))&lt;&gt;1,"",6)</f>
        <v/>
      </c>
      <c r="H4" s="5">
        <f>IF(MONTH(DATE('Year summary'!$B$3,1,7))&lt;&gt;1,"",7)</f>
        <v/>
      </c>
      <c r="I4" s="5">
        <f>IF(MONTH(DATE('Year summary'!$B$3,1,8))&lt;&gt;1,"",8)</f>
        <v/>
      </c>
      <c r="J4" s="5">
        <f>IF(MONTH(DATE('Year summary'!$B$3,1,9))&lt;&gt;1,"",9)</f>
        <v/>
      </c>
      <c r="K4" s="5">
        <f>IF(MONTH(DATE('Year summary'!$B$3,1,10))&lt;&gt;1,"",10)</f>
        <v/>
      </c>
      <c r="L4" s="5">
        <f>IF(MONTH(DATE('Year summary'!$B$3,1,11))&lt;&gt;1,"",11)</f>
        <v/>
      </c>
      <c r="M4" s="5">
        <f>IF(MONTH(DATE('Year summary'!$B$3,1,12))&lt;&gt;1,"",12)</f>
        <v/>
      </c>
      <c r="N4" s="5">
        <f>IF(MONTH(DATE('Year summary'!$B$3,1,13))&lt;&gt;1,"",13)</f>
        <v/>
      </c>
      <c r="O4" s="5">
        <f>IF(MONTH(DATE('Year summary'!$B$3,1,14))&lt;&gt;1,"",14)</f>
        <v/>
      </c>
      <c r="P4" s="5">
        <f>IF(MONTH(DATE('Year summary'!$B$3,1,15))&lt;&gt;1,"",15)</f>
        <v/>
      </c>
      <c r="Q4" s="5">
        <f>IF(MONTH(DATE('Year summary'!$B$3,1,16))&lt;&gt;1,"",16)</f>
        <v/>
      </c>
      <c r="R4" s="5">
        <f>IF(MONTH(DATE('Year summary'!$B$3,1,17))&lt;&gt;1,"",17)</f>
        <v/>
      </c>
      <c r="S4" s="5">
        <f>IF(MONTH(DATE('Year summary'!$B$3,1,18))&lt;&gt;1,"",18)</f>
        <v/>
      </c>
      <c r="T4" s="5">
        <f>IF(MONTH(DATE('Year summary'!$B$3,1,19))&lt;&gt;1,"",19)</f>
        <v/>
      </c>
      <c r="U4" s="5">
        <f>IF(MONTH(DATE('Year summary'!$B$3,1,20))&lt;&gt;1,"",20)</f>
        <v/>
      </c>
      <c r="V4" s="5">
        <f>IF(MONTH(DATE('Year summary'!$B$3,1,21))&lt;&gt;1,"",21)</f>
        <v/>
      </c>
      <c r="W4" s="5">
        <f>IF(MONTH(DATE('Year summary'!$B$3,1,22))&lt;&gt;1,"",22)</f>
        <v/>
      </c>
      <c r="X4" s="5">
        <f>IF(MONTH(DATE('Year summary'!$B$3,1,23))&lt;&gt;1,"",23)</f>
        <v/>
      </c>
      <c r="Y4" s="5">
        <f>IF(MONTH(DATE('Year summary'!$B$3,1,24))&lt;&gt;1,"",24)</f>
        <v/>
      </c>
      <c r="Z4" s="5">
        <f>IF(MONTH(DATE('Year summary'!$B$3,1,25))&lt;&gt;1,"",25)</f>
        <v/>
      </c>
      <c r="AA4" s="5">
        <f>IF(MONTH(DATE('Year summary'!$B$3,1,26))&lt;&gt;1,"",26)</f>
        <v/>
      </c>
      <c r="AB4" s="5">
        <f>IF(MONTH(DATE('Year summary'!$B$3,1,27))&lt;&gt;1,"",27)</f>
        <v/>
      </c>
      <c r="AC4" s="5">
        <f>IF(MONTH(DATE('Year summary'!$B$3,1,28))&lt;&gt;1,"",28)</f>
        <v/>
      </c>
      <c r="AD4" s="5">
        <f>IF(MONTH(DATE('Year summary'!$B$3,1,29))&lt;&gt;1,"",29)</f>
        <v/>
      </c>
      <c r="AE4" s="5">
        <f>IF(MONTH(DATE('Year summary'!$B$3,1,30))&lt;&gt;1,"",30)</f>
        <v/>
      </c>
      <c r="AF4" s="5">
        <f>IF(MONTH(DATE('Year summary'!$B$3,1,31))&lt;&gt;1,"",31)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summary'!$B$3,1,1))&lt;&gt;1,"",LEFT(TEXT(DATE('Year summary'!$B$3,1,1),"ddd"),2))</f>
        <v/>
      </c>
      <c r="C5" s="5">
        <f>IF(MONTH(DATE('Year summary'!$B$3,1,2))&lt;&gt;1,"",LEFT(TEXT(DATE('Year summary'!$B$3,1,2),"ddd"),2))</f>
        <v/>
      </c>
      <c r="D5" s="5">
        <f>IF(MONTH(DATE('Year summary'!$B$3,1,3))&lt;&gt;1,"",LEFT(TEXT(DATE('Year summary'!$B$3,1,3),"ddd"),2))</f>
        <v/>
      </c>
      <c r="E5" s="5">
        <f>IF(MONTH(DATE('Year summary'!$B$3,1,4))&lt;&gt;1,"",LEFT(TEXT(DATE('Year summary'!$B$3,1,4),"ddd"),2))</f>
        <v/>
      </c>
      <c r="F5" s="5">
        <f>IF(MONTH(DATE('Year summary'!$B$3,1,5))&lt;&gt;1,"",LEFT(TEXT(DATE('Year summary'!$B$3,1,5),"ddd"),2))</f>
        <v/>
      </c>
      <c r="G5" s="5">
        <f>IF(MONTH(DATE('Year summary'!$B$3,1,6))&lt;&gt;1,"",LEFT(TEXT(DATE('Year summary'!$B$3,1,6),"ddd"),2))</f>
        <v/>
      </c>
      <c r="H5" s="5">
        <f>IF(MONTH(DATE('Year summary'!$B$3,1,7))&lt;&gt;1,"",LEFT(TEXT(DATE('Year summary'!$B$3,1,7),"ddd"),2))</f>
        <v/>
      </c>
      <c r="I5" s="5">
        <f>IF(MONTH(DATE('Year summary'!$B$3,1,8))&lt;&gt;1,"",LEFT(TEXT(DATE('Year summary'!$B$3,1,8),"ddd"),2))</f>
        <v/>
      </c>
      <c r="J5" s="5">
        <f>IF(MONTH(DATE('Year summary'!$B$3,1,9))&lt;&gt;1,"",LEFT(TEXT(DATE('Year summary'!$B$3,1,9),"ddd"),2))</f>
        <v/>
      </c>
      <c r="K5" s="5">
        <f>IF(MONTH(DATE('Year summary'!$B$3,1,10))&lt;&gt;1,"",LEFT(TEXT(DATE('Year summary'!$B$3,1,10),"ddd"),2))</f>
        <v/>
      </c>
      <c r="L5" s="5">
        <f>IF(MONTH(DATE('Year summary'!$B$3,1,11))&lt;&gt;1,"",LEFT(TEXT(DATE('Year summary'!$B$3,1,11),"ddd"),2))</f>
        <v/>
      </c>
      <c r="M5" s="5">
        <f>IF(MONTH(DATE('Year summary'!$B$3,1,12))&lt;&gt;1,"",LEFT(TEXT(DATE('Year summary'!$B$3,1,12),"ddd"),2))</f>
        <v/>
      </c>
      <c r="N5" s="5">
        <f>IF(MONTH(DATE('Year summary'!$B$3,1,13))&lt;&gt;1,"",LEFT(TEXT(DATE('Year summary'!$B$3,1,13),"ddd"),2))</f>
        <v/>
      </c>
      <c r="O5" s="5">
        <f>IF(MONTH(DATE('Year summary'!$B$3,1,14))&lt;&gt;1,"",LEFT(TEXT(DATE('Year summary'!$B$3,1,14),"ddd"),2))</f>
        <v/>
      </c>
      <c r="P5" s="5">
        <f>IF(MONTH(DATE('Year summary'!$B$3,1,15))&lt;&gt;1,"",LEFT(TEXT(DATE('Year summary'!$B$3,1,15),"ddd"),2))</f>
        <v/>
      </c>
      <c r="Q5" s="5">
        <f>IF(MONTH(DATE('Year summary'!$B$3,1,16))&lt;&gt;1,"",LEFT(TEXT(DATE('Year summary'!$B$3,1,16),"ddd"),2))</f>
        <v/>
      </c>
      <c r="R5" s="5">
        <f>IF(MONTH(DATE('Year summary'!$B$3,1,17))&lt;&gt;1,"",LEFT(TEXT(DATE('Year summary'!$B$3,1,17),"ddd"),2))</f>
        <v/>
      </c>
      <c r="S5" s="5">
        <f>IF(MONTH(DATE('Year summary'!$B$3,1,18))&lt;&gt;1,"",LEFT(TEXT(DATE('Year summary'!$B$3,1,18),"ddd"),2))</f>
        <v/>
      </c>
      <c r="T5" s="5">
        <f>IF(MONTH(DATE('Year summary'!$B$3,1,19))&lt;&gt;1,"",LEFT(TEXT(DATE('Year summary'!$B$3,1,19),"ddd"),2))</f>
        <v/>
      </c>
      <c r="U5" s="5">
        <f>IF(MONTH(DATE('Year summary'!$B$3,1,20))&lt;&gt;1,"",LEFT(TEXT(DATE('Year summary'!$B$3,1,20),"ddd"),2))</f>
        <v/>
      </c>
      <c r="V5" s="5">
        <f>IF(MONTH(DATE('Year summary'!$B$3,1,21))&lt;&gt;1,"",LEFT(TEXT(DATE('Year summary'!$B$3,1,21),"ddd"),2))</f>
        <v/>
      </c>
      <c r="W5" s="5">
        <f>IF(MONTH(DATE('Year summary'!$B$3,1,22))&lt;&gt;1,"",LEFT(TEXT(DATE('Year summary'!$B$3,1,22),"ddd"),2))</f>
        <v/>
      </c>
      <c r="X5" s="5">
        <f>IF(MONTH(DATE('Year summary'!$B$3,1,23))&lt;&gt;1,"",LEFT(TEXT(DATE('Year summary'!$B$3,1,23),"ddd"),2))</f>
        <v/>
      </c>
      <c r="Y5" s="5">
        <f>IF(MONTH(DATE('Year summary'!$B$3,1,24))&lt;&gt;1,"",LEFT(TEXT(DATE('Year summary'!$B$3,1,24),"ddd"),2))</f>
        <v/>
      </c>
      <c r="Z5" s="5">
        <f>IF(MONTH(DATE('Year summary'!$B$3,1,25))&lt;&gt;1,"",LEFT(TEXT(DATE('Year summary'!$B$3,1,25),"ddd"),2))</f>
        <v/>
      </c>
      <c r="AA5" s="5">
        <f>IF(MONTH(DATE('Year summary'!$B$3,1,26))&lt;&gt;1,"",LEFT(TEXT(DATE('Year summary'!$B$3,1,26),"ddd"),2))</f>
        <v/>
      </c>
      <c r="AB5" s="5">
        <f>IF(MONTH(DATE('Year summary'!$B$3,1,27))&lt;&gt;1,"",LEFT(TEXT(DATE('Year summary'!$B$3,1,27),"ddd"),2))</f>
        <v/>
      </c>
      <c r="AC5" s="5">
        <f>IF(MONTH(DATE('Year summary'!$B$3,1,28))&lt;&gt;1,"",LEFT(TEXT(DATE('Year summary'!$B$3,1,28),"ddd"),2))</f>
        <v/>
      </c>
      <c r="AD5" s="5">
        <f>IF(MONTH(DATE('Year summary'!$B$3,1,29))&lt;&gt;1,"",LEFT(TEXT(DATE('Year summary'!$B$3,1,29),"ddd"),2))</f>
        <v/>
      </c>
      <c r="AE5" s="5">
        <f>IF(MONTH(DATE('Year summary'!$B$3,1,30))&lt;&gt;1,"",LEFT(TEXT(DATE('Year summary'!$B$3,1,30),"ddd"),2))</f>
        <v/>
      </c>
      <c r="AF5" s="5">
        <f>IF(MONTH(DATE('Year summary'!$B$3,1,31))&lt;&gt;1,"",LEFT(TEXT(DATE('Year summary'!$B$3,1,31),"ddd"),2))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summary'!$B$3,1,1))&gt;0,"H",""))</f>
        <v/>
      </c>
      <c r="C6" s="14">
        <f>IF(C$4="","",IF(COUNTIF('Year summary'!$A$30:$A$59,DATE('Year summary'!$B$3,1,2))&gt;0,"H",""))</f>
        <v/>
      </c>
      <c r="D6" s="14">
        <f>IF(D$4="","",IF(COUNTIF('Year summary'!$A$30:$A$59,DATE('Year summary'!$B$3,1,3))&gt;0,"H",""))</f>
        <v/>
      </c>
      <c r="E6" s="14">
        <f>IF(E$4="","",IF(COUNTIF('Year summary'!$A$30:$A$59,DATE('Year summary'!$B$3,1,4))&gt;0,"H",""))</f>
        <v/>
      </c>
      <c r="F6" s="14">
        <f>IF(F$4="","",IF(COUNTIF('Year summary'!$A$30:$A$59,DATE('Year summary'!$B$3,1,5))&gt;0,"H",""))</f>
        <v/>
      </c>
      <c r="G6" s="14">
        <f>IF(G$4="","",IF(COUNTIF('Year summary'!$A$30:$A$59,DATE('Year summary'!$B$3,1,6))&gt;0,"H",""))</f>
        <v/>
      </c>
      <c r="H6" s="14">
        <f>IF(H$4="","",IF(COUNTIF('Year summary'!$A$30:$A$59,DATE('Year summary'!$B$3,1,7))&gt;0,"H",""))</f>
        <v/>
      </c>
      <c r="I6" s="14">
        <f>IF(I$4="","",IF(COUNTIF('Year summary'!$A$30:$A$59,DATE('Year summary'!$B$3,1,8))&gt;0,"H",""))</f>
        <v/>
      </c>
      <c r="J6" s="14">
        <f>IF(J$4="","",IF(COUNTIF('Year summary'!$A$30:$A$59,DATE('Year summary'!$B$3,1,9))&gt;0,"H",""))</f>
        <v/>
      </c>
      <c r="K6" s="14">
        <f>IF(K$4="","",IF(COUNTIF('Year summary'!$A$30:$A$59,DATE('Year summary'!$B$3,1,10))&gt;0,"H",""))</f>
        <v/>
      </c>
      <c r="L6" s="14">
        <f>IF(L$4="","",IF(COUNTIF('Year summary'!$A$30:$A$59,DATE('Year summary'!$B$3,1,11))&gt;0,"H",""))</f>
        <v/>
      </c>
      <c r="M6" s="14">
        <f>IF(M$4="","",IF(COUNTIF('Year summary'!$A$30:$A$59,DATE('Year summary'!$B$3,1,12))&gt;0,"H",""))</f>
        <v/>
      </c>
      <c r="N6" s="14">
        <f>IF(N$4="","",IF(COUNTIF('Year summary'!$A$30:$A$59,DATE('Year summary'!$B$3,1,13))&gt;0,"H",""))</f>
        <v/>
      </c>
      <c r="O6" s="14">
        <f>IF(O$4="","",IF(COUNTIF('Year summary'!$A$30:$A$59,DATE('Year summary'!$B$3,1,14))&gt;0,"H",""))</f>
        <v/>
      </c>
      <c r="P6" s="14">
        <f>IF(P$4="","",IF(COUNTIF('Year summary'!$A$30:$A$59,DATE('Year summary'!$B$3,1,15))&gt;0,"H",""))</f>
        <v/>
      </c>
      <c r="Q6" s="14">
        <f>IF(Q$4="","",IF(COUNTIF('Year summary'!$A$30:$A$59,DATE('Year summary'!$B$3,1,16))&gt;0,"H",""))</f>
        <v/>
      </c>
      <c r="R6" s="14">
        <f>IF(R$4="","",IF(COUNTIF('Year summary'!$A$30:$A$59,DATE('Year summary'!$B$3,1,17))&gt;0,"H",""))</f>
        <v/>
      </c>
      <c r="S6" s="14">
        <f>IF(S$4="","",IF(COUNTIF('Year summary'!$A$30:$A$59,DATE('Year summary'!$B$3,1,18))&gt;0,"H",""))</f>
        <v/>
      </c>
      <c r="T6" s="14">
        <f>IF(T$4="","",IF(COUNTIF('Year summary'!$A$30:$A$59,DATE('Year summary'!$B$3,1,19))&gt;0,"H",""))</f>
        <v/>
      </c>
      <c r="U6" s="14">
        <f>IF(U$4="","",IF(COUNTIF('Year summary'!$A$30:$A$59,DATE('Year summary'!$B$3,1,20))&gt;0,"H",""))</f>
        <v/>
      </c>
      <c r="V6" s="14">
        <f>IF(V$4="","",IF(COUNTIF('Year summary'!$A$30:$A$59,DATE('Year summary'!$B$3,1,21))&gt;0,"H",""))</f>
        <v/>
      </c>
      <c r="W6" s="14">
        <f>IF(W$4="","",IF(COUNTIF('Year summary'!$A$30:$A$59,DATE('Year summary'!$B$3,1,22))&gt;0,"H",""))</f>
        <v/>
      </c>
      <c r="X6" s="14">
        <f>IF(X$4="","",IF(COUNTIF('Year summary'!$A$30:$A$59,DATE('Year summary'!$B$3,1,23))&gt;0,"H",""))</f>
        <v/>
      </c>
      <c r="Y6" s="14">
        <f>IF(Y$4="","",IF(COUNTIF('Year summary'!$A$30:$A$59,DATE('Year summary'!$B$3,1,24))&gt;0,"H",""))</f>
        <v/>
      </c>
      <c r="Z6" s="14">
        <f>IF(Z$4="","",IF(COUNTIF('Year summary'!$A$30:$A$59,DATE('Year summary'!$B$3,1,25))&gt;0,"H",""))</f>
        <v/>
      </c>
      <c r="AA6" s="14">
        <f>IF(AA$4="","",IF(COUNTIF('Year summary'!$A$30:$A$59,DATE('Year summary'!$B$3,1,26))&gt;0,"H",""))</f>
        <v/>
      </c>
      <c r="AB6" s="14">
        <f>IF(AB$4="","",IF(COUNTIF('Year summary'!$A$30:$A$59,DATE('Year summary'!$B$3,1,27))&gt;0,"H",""))</f>
        <v/>
      </c>
      <c r="AC6" s="14">
        <f>IF(AC$4="","",IF(COUNTIF('Year summary'!$A$30:$A$59,DATE('Year summary'!$B$3,1,28))&gt;0,"H",""))</f>
        <v/>
      </c>
      <c r="AD6" s="14">
        <f>IF(AD$4="","",IF(COUNTIF('Year summary'!$A$30:$A$59,DATE('Year summary'!$B$3,1,29))&gt;0,"H",""))</f>
        <v/>
      </c>
      <c r="AE6" s="14">
        <f>IF(AE$4="","",IF(COUNTIF('Year summary'!$A$30:$A$59,DATE('Year summary'!$B$3,1,30))&gt;0,"H",""))</f>
        <v/>
      </c>
      <c r="AF6" s="14">
        <f>IF(AF$4="","",IF(COUNTIF('Year summary'!$A$30:$A$59,DATE('Year summary'!$B$3,1,31))&gt;0,"H",""))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February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summary'!$B$3,2,1))&lt;&gt;2,"",1)</f>
        <v/>
      </c>
      <c r="C4" s="5">
        <f>IF(MONTH(DATE('Year summary'!$B$3,2,2))&lt;&gt;2,"",2)</f>
        <v/>
      </c>
      <c r="D4" s="5">
        <f>IF(MONTH(DATE('Year summary'!$B$3,2,3))&lt;&gt;2,"",3)</f>
        <v/>
      </c>
      <c r="E4" s="5">
        <f>IF(MONTH(DATE('Year summary'!$B$3,2,4))&lt;&gt;2,"",4)</f>
        <v/>
      </c>
      <c r="F4" s="5">
        <f>IF(MONTH(DATE('Year summary'!$B$3,2,5))&lt;&gt;2,"",5)</f>
        <v/>
      </c>
      <c r="G4" s="5">
        <f>IF(MONTH(DATE('Year summary'!$B$3,2,6))&lt;&gt;2,"",6)</f>
        <v/>
      </c>
      <c r="H4" s="5">
        <f>IF(MONTH(DATE('Year summary'!$B$3,2,7))&lt;&gt;2,"",7)</f>
        <v/>
      </c>
      <c r="I4" s="5">
        <f>IF(MONTH(DATE('Year summary'!$B$3,2,8))&lt;&gt;2,"",8)</f>
        <v/>
      </c>
      <c r="J4" s="5">
        <f>IF(MONTH(DATE('Year summary'!$B$3,2,9))&lt;&gt;2,"",9)</f>
        <v/>
      </c>
      <c r="K4" s="5">
        <f>IF(MONTH(DATE('Year summary'!$B$3,2,10))&lt;&gt;2,"",10)</f>
        <v/>
      </c>
      <c r="L4" s="5">
        <f>IF(MONTH(DATE('Year summary'!$B$3,2,11))&lt;&gt;2,"",11)</f>
        <v/>
      </c>
      <c r="M4" s="5">
        <f>IF(MONTH(DATE('Year summary'!$B$3,2,12))&lt;&gt;2,"",12)</f>
        <v/>
      </c>
      <c r="N4" s="5">
        <f>IF(MONTH(DATE('Year summary'!$B$3,2,13))&lt;&gt;2,"",13)</f>
        <v/>
      </c>
      <c r="O4" s="5">
        <f>IF(MONTH(DATE('Year summary'!$B$3,2,14))&lt;&gt;2,"",14)</f>
        <v/>
      </c>
      <c r="P4" s="5">
        <f>IF(MONTH(DATE('Year summary'!$B$3,2,15))&lt;&gt;2,"",15)</f>
        <v/>
      </c>
      <c r="Q4" s="5">
        <f>IF(MONTH(DATE('Year summary'!$B$3,2,16))&lt;&gt;2,"",16)</f>
        <v/>
      </c>
      <c r="R4" s="5">
        <f>IF(MONTH(DATE('Year summary'!$B$3,2,17))&lt;&gt;2,"",17)</f>
        <v/>
      </c>
      <c r="S4" s="5">
        <f>IF(MONTH(DATE('Year summary'!$B$3,2,18))&lt;&gt;2,"",18)</f>
        <v/>
      </c>
      <c r="T4" s="5">
        <f>IF(MONTH(DATE('Year summary'!$B$3,2,19))&lt;&gt;2,"",19)</f>
        <v/>
      </c>
      <c r="U4" s="5">
        <f>IF(MONTH(DATE('Year summary'!$B$3,2,20))&lt;&gt;2,"",20)</f>
        <v/>
      </c>
      <c r="V4" s="5">
        <f>IF(MONTH(DATE('Year summary'!$B$3,2,21))&lt;&gt;2,"",21)</f>
        <v/>
      </c>
      <c r="W4" s="5">
        <f>IF(MONTH(DATE('Year summary'!$B$3,2,22))&lt;&gt;2,"",22)</f>
        <v/>
      </c>
      <c r="X4" s="5">
        <f>IF(MONTH(DATE('Year summary'!$B$3,2,23))&lt;&gt;2,"",23)</f>
        <v/>
      </c>
      <c r="Y4" s="5">
        <f>IF(MONTH(DATE('Year summary'!$B$3,2,24))&lt;&gt;2,"",24)</f>
        <v/>
      </c>
      <c r="Z4" s="5">
        <f>IF(MONTH(DATE('Year summary'!$B$3,2,25))&lt;&gt;2,"",25)</f>
        <v/>
      </c>
      <c r="AA4" s="5">
        <f>IF(MONTH(DATE('Year summary'!$B$3,2,26))&lt;&gt;2,"",26)</f>
        <v/>
      </c>
      <c r="AB4" s="5">
        <f>IF(MONTH(DATE('Year summary'!$B$3,2,27))&lt;&gt;2,"",27)</f>
        <v/>
      </c>
      <c r="AC4" s="5">
        <f>IF(MONTH(DATE('Year summary'!$B$3,2,28))&lt;&gt;2,"",28)</f>
        <v/>
      </c>
      <c r="AD4" s="5">
        <f>IF(MONTH(DATE('Year summary'!$B$3,2,29))&lt;&gt;2,"",29)</f>
        <v/>
      </c>
      <c r="AE4" s="5">
        <f>IF(MONTH(DATE('Year summary'!$B$3,2,30))&lt;&gt;2,"",30)</f>
        <v/>
      </c>
      <c r="AF4" s="5">
        <f>IF(MONTH(DATE('Year summary'!$B$3,2,31))&lt;&gt;2,"",31)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summary'!$B$3,2,1))&lt;&gt;2,"",LEFT(TEXT(DATE('Year summary'!$B$3,2,1),"ddd"),2))</f>
        <v/>
      </c>
      <c r="C5" s="5">
        <f>IF(MONTH(DATE('Year summary'!$B$3,2,2))&lt;&gt;2,"",LEFT(TEXT(DATE('Year summary'!$B$3,2,2),"ddd"),2))</f>
        <v/>
      </c>
      <c r="D5" s="5">
        <f>IF(MONTH(DATE('Year summary'!$B$3,2,3))&lt;&gt;2,"",LEFT(TEXT(DATE('Year summary'!$B$3,2,3),"ddd"),2))</f>
        <v/>
      </c>
      <c r="E5" s="5">
        <f>IF(MONTH(DATE('Year summary'!$B$3,2,4))&lt;&gt;2,"",LEFT(TEXT(DATE('Year summary'!$B$3,2,4),"ddd"),2))</f>
        <v/>
      </c>
      <c r="F5" s="5">
        <f>IF(MONTH(DATE('Year summary'!$B$3,2,5))&lt;&gt;2,"",LEFT(TEXT(DATE('Year summary'!$B$3,2,5),"ddd"),2))</f>
        <v/>
      </c>
      <c r="G5" s="5">
        <f>IF(MONTH(DATE('Year summary'!$B$3,2,6))&lt;&gt;2,"",LEFT(TEXT(DATE('Year summary'!$B$3,2,6),"ddd"),2))</f>
        <v/>
      </c>
      <c r="H5" s="5">
        <f>IF(MONTH(DATE('Year summary'!$B$3,2,7))&lt;&gt;2,"",LEFT(TEXT(DATE('Year summary'!$B$3,2,7),"ddd"),2))</f>
        <v/>
      </c>
      <c r="I5" s="5">
        <f>IF(MONTH(DATE('Year summary'!$B$3,2,8))&lt;&gt;2,"",LEFT(TEXT(DATE('Year summary'!$B$3,2,8),"ddd"),2))</f>
        <v/>
      </c>
      <c r="J5" s="5">
        <f>IF(MONTH(DATE('Year summary'!$B$3,2,9))&lt;&gt;2,"",LEFT(TEXT(DATE('Year summary'!$B$3,2,9),"ddd"),2))</f>
        <v/>
      </c>
      <c r="K5" s="5">
        <f>IF(MONTH(DATE('Year summary'!$B$3,2,10))&lt;&gt;2,"",LEFT(TEXT(DATE('Year summary'!$B$3,2,10),"ddd"),2))</f>
        <v/>
      </c>
      <c r="L5" s="5">
        <f>IF(MONTH(DATE('Year summary'!$B$3,2,11))&lt;&gt;2,"",LEFT(TEXT(DATE('Year summary'!$B$3,2,11),"ddd"),2))</f>
        <v/>
      </c>
      <c r="M5" s="5">
        <f>IF(MONTH(DATE('Year summary'!$B$3,2,12))&lt;&gt;2,"",LEFT(TEXT(DATE('Year summary'!$B$3,2,12),"ddd"),2))</f>
        <v/>
      </c>
      <c r="N5" s="5">
        <f>IF(MONTH(DATE('Year summary'!$B$3,2,13))&lt;&gt;2,"",LEFT(TEXT(DATE('Year summary'!$B$3,2,13),"ddd"),2))</f>
        <v/>
      </c>
      <c r="O5" s="5">
        <f>IF(MONTH(DATE('Year summary'!$B$3,2,14))&lt;&gt;2,"",LEFT(TEXT(DATE('Year summary'!$B$3,2,14),"ddd"),2))</f>
        <v/>
      </c>
      <c r="P5" s="5">
        <f>IF(MONTH(DATE('Year summary'!$B$3,2,15))&lt;&gt;2,"",LEFT(TEXT(DATE('Year summary'!$B$3,2,15),"ddd"),2))</f>
        <v/>
      </c>
      <c r="Q5" s="5">
        <f>IF(MONTH(DATE('Year summary'!$B$3,2,16))&lt;&gt;2,"",LEFT(TEXT(DATE('Year summary'!$B$3,2,16),"ddd"),2))</f>
        <v/>
      </c>
      <c r="R5" s="5">
        <f>IF(MONTH(DATE('Year summary'!$B$3,2,17))&lt;&gt;2,"",LEFT(TEXT(DATE('Year summary'!$B$3,2,17),"ddd"),2))</f>
        <v/>
      </c>
      <c r="S5" s="5">
        <f>IF(MONTH(DATE('Year summary'!$B$3,2,18))&lt;&gt;2,"",LEFT(TEXT(DATE('Year summary'!$B$3,2,18),"ddd"),2))</f>
        <v/>
      </c>
      <c r="T5" s="5">
        <f>IF(MONTH(DATE('Year summary'!$B$3,2,19))&lt;&gt;2,"",LEFT(TEXT(DATE('Year summary'!$B$3,2,19),"ddd"),2))</f>
        <v/>
      </c>
      <c r="U5" s="5">
        <f>IF(MONTH(DATE('Year summary'!$B$3,2,20))&lt;&gt;2,"",LEFT(TEXT(DATE('Year summary'!$B$3,2,20),"ddd"),2))</f>
        <v/>
      </c>
      <c r="V5" s="5">
        <f>IF(MONTH(DATE('Year summary'!$B$3,2,21))&lt;&gt;2,"",LEFT(TEXT(DATE('Year summary'!$B$3,2,21),"ddd"),2))</f>
        <v/>
      </c>
      <c r="W5" s="5">
        <f>IF(MONTH(DATE('Year summary'!$B$3,2,22))&lt;&gt;2,"",LEFT(TEXT(DATE('Year summary'!$B$3,2,22),"ddd"),2))</f>
        <v/>
      </c>
      <c r="X5" s="5">
        <f>IF(MONTH(DATE('Year summary'!$B$3,2,23))&lt;&gt;2,"",LEFT(TEXT(DATE('Year summary'!$B$3,2,23),"ddd"),2))</f>
        <v/>
      </c>
      <c r="Y5" s="5">
        <f>IF(MONTH(DATE('Year summary'!$B$3,2,24))&lt;&gt;2,"",LEFT(TEXT(DATE('Year summary'!$B$3,2,24),"ddd"),2))</f>
        <v/>
      </c>
      <c r="Z5" s="5">
        <f>IF(MONTH(DATE('Year summary'!$B$3,2,25))&lt;&gt;2,"",LEFT(TEXT(DATE('Year summary'!$B$3,2,25),"ddd"),2))</f>
        <v/>
      </c>
      <c r="AA5" s="5">
        <f>IF(MONTH(DATE('Year summary'!$B$3,2,26))&lt;&gt;2,"",LEFT(TEXT(DATE('Year summary'!$B$3,2,26),"ddd"),2))</f>
        <v/>
      </c>
      <c r="AB5" s="5">
        <f>IF(MONTH(DATE('Year summary'!$B$3,2,27))&lt;&gt;2,"",LEFT(TEXT(DATE('Year summary'!$B$3,2,27),"ddd"),2))</f>
        <v/>
      </c>
      <c r="AC5" s="5">
        <f>IF(MONTH(DATE('Year summary'!$B$3,2,28))&lt;&gt;2,"",LEFT(TEXT(DATE('Year summary'!$B$3,2,28),"ddd"),2))</f>
        <v/>
      </c>
      <c r="AD5" s="5">
        <f>IF(MONTH(DATE('Year summary'!$B$3,2,29))&lt;&gt;2,"",LEFT(TEXT(DATE('Year summary'!$B$3,2,29),"ddd"),2))</f>
        <v/>
      </c>
      <c r="AE5" s="5">
        <f>IF(MONTH(DATE('Year summary'!$B$3,2,30))&lt;&gt;2,"",LEFT(TEXT(DATE('Year summary'!$B$3,2,30),"ddd"),2))</f>
        <v/>
      </c>
      <c r="AF5" s="5">
        <f>IF(MONTH(DATE('Year summary'!$B$3,2,31))&lt;&gt;2,"",LEFT(TEXT(DATE('Year summary'!$B$3,2,31),"ddd"),2))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summary'!$B$3,2,1))&gt;0,"H",""))</f>
        <v/>
      </c>
      <c r="C6" s="14">
        <f>IF(C$4="","",IF(COUNTIF('Year summary'!$A$30:$A$59,DATE('Year summary'!$B$3,2,2))&gt;0,"H",""))</f>
        <v/>
      </c>
      <c r="D6" s="14">
        <f>IF(D$4="","",IF(COUNTIF('Year summary'!$A$30:$A$59,DATE('Year summary'!$B$3,2,3))&gt;0,"H",""))</f>
        <v/>
      </c>
      <c r="E6" s="14">
        <f>IF(E$4="","",IF(COUNTIF('Year summary'!$A$30:$A$59,DATE('Year summary'!$B$3,2,4))&gt;0,"H",""))</f>
        <v/>
      </c>
      <c r="F6" s="14">
        <f>IF(F$4="","",IF(COUNTIF('Year summary'!$A$30:$A$59,DATE('Year summary'!$B$3,2,5))&gt;0,"H",""))</f>
        <v/>
      </c>
      <c r="G6" s="14">
        <f>IF(G$4="","",IF(COUNTIF('Year summary'!$A$30:$A$59,DATE('Year summary'!$B$3,2,6))&gt;0,"H",""))</f>
        <v/>
      </c>
      <c r="H6" s="14">
        <f>IF(H$4="","",IF(COUNTIF('Year summary'!$A$30:$A$59,DATE('Year summary'!$B$3,2,7))&gt;0,"H",""))</f>
        <v/>
      </c>
      <c r="I6" s="14">
        <f>IF(I$4="","",IF(COUNTIF('Year summary'!$A$30:$A$59,DATE('Year summary'!$B$3,2,8))&gt;0,"H",""))</f>
        <v/>
      </c>
      <c r="J6" s="14">
        <f>IF(J$4="","",IF(COUNTIF('Year summary'!$A$30:$A$59,DATE('Year summary'!$B$3,2,9))&gt;0,"H",""))</f>
        <v/>
      </c>
      <c r="K6" s="14">
        <f>IF(K$4="","",IF(COUNTIF('Year summary'!$A$30:$A$59,DATE('Year summary'!$B$3,2,10))&gt;0,"H",""))</f>
        <v/>
      </c>
      <c r="L6" s="14">
        <f>IF(L$4="","",IF(COUNTIF('Year summary'!$A$30:$A$59,DATE('Year summary'!$B$3,2,11))&gt;0,"H",""))</f>
        <v/>
      </c>
      <c r="M6" s="14">
        <f>IF(M$4="","",IF(COUNTIF('Year summary'!$A$30:$A$59,DATE('Year summary'!$B$3,2,12))&gt;0,"H",""))</f>
        <v/>
      </c>
      <c r="N6" s="14">
        <f>IF(N$4="","",IF(COUNTIF('Year summary'!$A$30:$A$59,DATE('Year summary'!$B$3,2,13))&gt;0,"H",""))</f>
        <v/>
      </c>
      <c r="O6" s="14">
        <f>IF(O$4="","",IF(COUNTIF('Year summary'!$A$30:$A$59,DATE('Year summary'!$B$3,2,14))&gt;0,"H",""))</f>
        <v/>
      </c>
      <c r="P6" s="14">
        <f>IF(P$4="","",IF(COUNTIF('Year summary'!$A$30:$A$59,DATE('Year summary'!$B$3,2,15))&gt;0,"H",""))</f>
        <v/>
      </c>
      <c r="Q6" s="14">
        <f>IF(Q$4="","",IF(COUNTIF('Year summary'!$A$30:$A$59,DATE('Year summary'!$B$3,2,16))&gt;0,"H",""))</f>
        <v/>
      </c>
      <c r="R6" s="14">
        <f>IF(R$4="","",IF(COUNTIF('Year summary'!$A$30:$A$59,DATE('Year summary'!$B$3,2,17))&gt;0,"H",""))</f>
        <v/>
      </c>
      <c r="S6" s="14">
        <f>IF(S$4="","",IF(COUNTIF('Year summary'!$A$30:$A$59,DATE('Year summary'!$B$3,2,18))&gt;0,"H",""))</f>
        <v/>
      </c>
      <c r="T6" s="14">
        <f>IF(T$4="","",IF(COUNTIF('Year summary'!$A$30:$A$59,DATE('Year summary'!$B$3,2,19))&gt;0,"H",""))</f>
        <v/>
      </c>
      <c r="U6" s="14">
        <f>IF(U$4="","",IF(COUNTIF('Year summary'!$A$30:$A$59,DATE('Year summary'!$B$3,2,20))&gt;0,"H",""))</f>
        <v/>
      </c>
      <c r="V6" s="14">
        <f>IF(V$4="","",IF(COUNTIF('Year summary'!$A$30:$A$59,DATE('Year summary'!$B$3,2,21))&gt;0,"H",""))</f>
        <v/>
      </c>
      <c r="W6" s="14">
        <f>IF(W$4="","",IF(COUNTIF('Year summary'!$A$30:$A$59,DATE('Year summary'!$B$3,2,22))&gt;0,"H",""))</f>
        <v/>
      </c>
      <c r="X6" s="14">
        <f>IF(X$4="","",IF(COUNTIF('Year summary'!$A$30:$A$59,DATE('Year summary'!$B$3,2,23))&gt;0,"H",""))</f>
        <v/>
      </c>
      <c r="Y6" s="14">
        <f>IF(Y$4="","",IF(COUNTIF('Year summary'!$A$30:$A$59,DATE('Year summary'!$B$3,2,24))&gt;0,"H",""))</f>
        <v/>
      </c>
      <c r="Z6" s="14">
        <f>IF(Z$4="","",IF(COUNTIF('Year summary'!$A$30:$A$59,DATE('Year summary'!$B$3,2,25))&gt;0,"H",""))</f>
        <v/>
      </c>
      <c r="AA6" s="14">
        <f>IF(AA$4="","",IF(COUNTIF('Year summary'!$A$30:$A$59,DATE('Year summary'!$B$3,2,26))&gt;0,"H",""))</f>
        <v/>
      </c>
      <c r="AB6" s="14">
        <f>IF(AB$4="","",IF(COUNTIF('Year summary'!$A$30:$A$59,DATE('Year summary'!$B$3,2,27))&gt;0,"H",""))</f>
        <v/>
      </c>
      <c r="AC6" s="14">
        <f>IF(AC$4="","",IF(COUNTIF('Year summary'!$A$30:$A$59,DATE('Year summary'!$B$3,2,28))&gt;0,"H",""))</f>
        <v/>
      </c>
      <c r="AD6" s="14">
        <f>IF(AD$4="","",IF(COUNTIF('Year summary'!$A$30:$A$59,DATE('Year summary'!$B$3,2,29))&gt;0,"H",""))</f>
        <v/>
      </c>
      <c r="AE6" s="14">
        <f>IF(AE$4="","",IF(COUNTIF('Year summary'!$A$30:$A$59,DATE('Year summary'!$B$3,2,30))&gt;0,"H",""))</f>
        <v/>
      </c>
      <c r="AF6" s="14">
        <f>IF(AF$4="","",IF(COUNTIF('Year summary'!$A$30:$A$59,DATE('Year summary'!$B$3,2,31))&gt;0,"H",""))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March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summary'!$B$3,3,1))&lt;&gt;3,"",1)</f>
        <v/>
      </c>
      <c r="C4" s="5">
        <f>IF(MONTH(DATE('Year summary'!$B$3,3,2))&lt;&gt;3,"",2)</f>
        <v/>
      </c>
      <c r="D4" s="5">
        <f>IF(MONTH(DATE('Year summary'!$B$3,3,3))&lt;&gt;3,"",3)</f>
        <v/>
      </c>
      <c r="E4" s="5">
        <f>IF(MONTH(DATE('Year summary'!$B$3,3,4))&lt;&gt;3,"",4)</f>
        <v/>
      </c>
      <c r="F4" s="5">
        <f>IF(MONTH(DATE('Year summary'!$B$3,3,5))&lt;&gt;3,"",5)</f>
        <v/>
      </c>
      <c r="G4" s="5">
        <f>IF(MONTH(DATE('Year summary'!$B$3,3,6))&lt;&gt;3,"",6)</f>
        <v/>
      </c>
      <c r="H4" s="5">
        <f>IF(MONTH(DATE('Year summary'!$B$3,3,7))&lt;&gt;3,"",7)</f>
        <v/>
      </c>
      <c r="I4" s="5">
        <f>IF(MONTH(DATE('Year summary'!$B$3,3,8))&lt;&gt;3,"",8)</f>
        <v/>
      </c>
      <c r="J4" s="5">
        <f>IF(MONTH(DATE('Year summary'!$B$3,3,9))&lt;&gt;3,"",9)</f>
        <v/>
      </c>
      <c r="K4" s="5">
        <f>IF(MONTH(DATE('Year summary'!$B$3,3,10))&lt;&gt;3,"",10)</f>
        <v/>
      </c>
      <c r="L4" s="5">
        <f>IF(MONTH(DATE('Year summary'!$B$3,3,11))&lt;&gt;3,"",11)</f>
        <v/>
      </c>
      <c r="M4" s="5">
        <f>IF(MONTH(DATE('Year summary'!$B$3,3,12))&lt;&gt;3,"",12)</f>
        <v/>
      </c>
      <c r="N4" s="5">
        <f>IF(MONTH(DATE('Year summary'!$B$3,3,13))&lt;&gt;3,"",13)</f>
        <v/>
      </c>
      <c r="O4" s="5">
        <f>IF(MONTH(DATE('Year summary'!$B$3,3,14))&lt;&gt;3,"",14)</f>
        <v/>
      </c>
      <c r="P4" s="5">
        <f>IF(MONTH(DATE('Year summary'!$B$3,3,15))&lt;&gt;3,"",15)</f>
        <v/>
      </c>
      <c r="Q4" s="5">
        <f>IF(MONTH(DATE('Year summary'!$B$3,3,16))&lt;&gt;3,"",16)</f>
        <v/>
      </c>
      <c r="R4" s="5">
        <f>IF(MONTH(DATE('Year summary'!$B$3,3,17))&lt;&gt;3,"",17)</f>
        <v/>
      </c>
      <c r="S4" s="5">
        <f>IF(MONTH(DATE('Year summary'!$B$3,3,18))&lt;&gt;3,"",18)</f>
        <v/>
      </c>
      <c r="T4" s="5">
        <f>IF(MONTH(DATE('Year summary'!$B$3,3,19))&lt;&gt;3,"",19)</f>
        <v/>
      </c>
      <c r="U4" s="5">
        <f>IF(MONTH(DATE('Year summary'!$B$3,3,20))&lt;&gt;3,"",20)</f>
        <v/>
      </c>
      <c r="V4" s="5">
        <f>IF(MONTH(DATE('Year summary'!$B$3,3,21))&lt;&gt;3,"",21)</f>
        <v/>
      </c>
      <c r="W4" s="5">
        <f>IF(MONTH(DATE('Year summary'!$B$3,3,22))&lt;&gt;3,"",22)</f>
        <v/>
      </c>
      <c r="X4" s="5">
        <f>IF(MONTH(DATE('Year summary'!$B$3,3,23))&lt;&gt;3,"",23)</f>
        <v/>
      </c>
      <c r="Y4" s="5">
        <f>IF(MONTH(DATE('Year summary'!$B$3,3,24))&lt;&gt;3,"",24)</f>
        <v/>
      </c>
      <c r="Z4" s="5">
        <f>IF(MONTH(DATE('Year summary'!$B$3,3,25))&lt;&gt;3,"",25)</f>
        <v/>
      </c>
      <c r="AA4" s="5">
        <f>IF(MONTH(DATE('Year summary'!$B$3,3,26))&lt;&gt;3,"",26)</f>
        <v/>
      </c>
      <c r="AB4" s="5">
        <f>IF(MONTH(DATE('Year summary'!$B$3,3,27))&lt;&gt;3,"",27)</f>
        <v/>
      </c>
      <c r="AC4" s="5">
        <f>IF(MONTH(DATE('Year summary'!$B$3,3,28))&lt;&gt;3,"",28)</f>
        <v/>
      </c>
      <c r="AD4" s="5">
        <f>IF(MONTH(DATE('Year summary'!$B$3,3,29))&lt;&gt;3,"",29)</f>
        <v/>
      </c>
      <c r="AE4" s="5">
        <f>IF(MONTH(DATE('Year summary'!$B$3,3,30))&lt;&gt;3,"",30)</f>
        <v/>
      </c>
      <c r="AF4" s="5">
        <f>IF(MONTH(DATE('Year summary'!$B$3,3,31))&lt;&gt;3,"",31)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summary'!$B$3,3,1))&lt;&gt;3,"",LEFT(TEXT(DATE('Year summary'!$B$3,3,1),"ddd"),2))</f>
        <v/>
      </c>
      <c r="C5" s="5">
        <f>IF(MONTH(DATE('Year summary'!$B$3,3,2))&lt;&gt;3,"",LEFT(TEXT(DATE('Year summary'!$B$3,3,2),"ddd"),2))</f>
        <v/>
      </c>
      <c r="D5" s="5">
        <f>IF(MONTH(DATE('Year summary'!$B$3,3,3))&lt;&gt;3,"",LEFT(TEXT(DATE('Year summary'!$B$3,3,3),"ddd"),2))</f>
        <v/>
      </c>
      <c r="E5" s="5">
        <f>IF(MONTH(DATE('Year summary'!$B$3,3,4))&lt;&gt;3,"",LEFT(TEXT(DATE('Year summary'!$B$3,3,4),"ddd"),2))</f>
        <v/>
      </c>
      <c r="F5" s="5">
        <f>IF(MONTH(DATE('Year summary'!$B$3,3,5))&lt;&gt;3,"",LEFT(TEXT(DATE('Year summary'!$B$3,3,5),"ddd"),2))</f>
        <v/>
      </c>
      <c r="G5" s="5">
        <f>IF(MONTH(DATE('Year summary'!$B$3,3,6))&lt;&gt;3,"",LEFT(TEXT(DATE('Year summary'!$B$3,3,6),"ddd"),2))</f>
        <v/>
      </c>
      <c r="H5" s="5">
        <f>IF(MONTH(DATE('Year summary'!$B$3,3,7))&lt;&gt;3,"",LEFT(TEXT(DATE('Year summary'!$B$3,3,7),"ddd"),2))</f>
        <v/>
      </c>
      <c r="I5" s="5">
        <f>IF(MONTH(DATE('Year summary'!$B$3,3,8))&lt;&gt;3,"",LEFT(TEXT(DATE('Year summary'!$B$3,3,8),"ddd"),2))</f>
        <v/>
      </c>
      <c r="J5" s="5">
        <f>IF(MONTH(DATE('Year summary'!$B$3,3,9))&lt;&gt;3,"",LEFT(TEXT(DATE('Year summary'!$B$3,3,9),"ddd"),2))</f>
        <v/>
      </c>
      <c r="K5" s="5">
        <f>IF(MONTH(DATE('Year summary'!$B$3,3,10))&lt;&gt;3,"",LEFT(TEXT(DATE('Year summary'!$B$3,3,10),"ddd"),2))</f>
        <v/>
      </c>
      <c r="L5" s="5">
        <f>IF(MONTH(DATE('Year summary'!$B$3,3,11))&lt;&gt;3,"",LEFT(TEXT(DATE('Year summary'!$B$3,3,11),"ddd"),2))</f>
        <v/>
      </c>
      <c r="M5" s="5">
        <f>IF(MONTH(DATE('Year summary'!$B$3,3,12))&lt;&gt;3,"",LEFT(TEXT(DATE('Year summary'!$B$3,3,12),"ddd"),2))</f>
        <v/>
      </c>
      <c r="N5" s="5">
        <f>IF(MONTH(DATE('Year summary'!$B$3,3,13))&lt;&gt;3,"",LEFT(TEXT(DATE('Year summary'!$B$3,3,13),"ddd"),2))</f>
        <v/>
      </c>
      <c r="O5" s="5">
        <f>IF(MONTH(DATE('Year summary'!$B$3,3,14))&lt;&gt;3,"",LEFT(TEXT(DATE('Year summary'!$B$3,3,14),"ddd"),2))</f>
        <v/>
      </c>
      <c r="P5" s="5">
        <f>IF(MONTH(DATE('Year summary'!$B$3,3,15))&lt;&gt;3,"",LEFT(TEXT(DATE('Year summary'!$B$3,3,15),"ddd"),2))</f>
        <v/>
      </c>
      <c r="Q5" s="5">
        <f>IF(MONTH(DATE('Year summary'!$B$3,3,16))&lt;&gt;3,"",LEFT(TEXT(DATE('Year summary'!$B$3,3,16),"ddd"),2))</f>
        <v/>
      </c>
      <c r="R5" s="5">
        <f>IF(MONTH(DATE('Year summary'!$B$3,3,17))&lt;&gt;3,"",LEFT(TEXT(DATE('Year summary'!$B$3,3,17),"ddd"),2))</f>
        <v/>
      </c>
      <c r="S5" s="5">
        <f>IF(MONTH(DATE('Year summary'!$B$3,3,18))&lt;&gt;3,"",LEFT(TEXT(DATE('Year summary'!$B$3,3,18),"ddd"),2))</f>
        <v/>
      </c>
      <c r="T5" s="5">
        <f>IF(MONTH(DATE('Year summary'!$B$3,3,19))&lt;&gt;3,"",LEFT(TEXT(DATE('Year summary'!$B$3,3,19),"ddd"),2))</f>
        <v/>
      </c>
      <c r="U5" s="5">
        <f>IF(MONTH(DATE('Year summary'!$B$3,3,20))&lt;&gt;3,"",LEFT(TEXT(DATE('Year summary'!$B$3,3,20),"ddd"),2))</f>
        <v/>
      </c>
      <c r="V5" s="5">
        <f>IF(MONTH(DATE('Year summary'!$B$3,3,21))&lt;&gt;3,"",LEFT(TEXT(DATE('Year summary'!$B$3,3,21),"ddd"),2))</f>
        <v/>
      </c>
      <c r="W5" s="5">
        <f>IF(MONTH(DATE('Year summary'!$B$3,3,22))&lt;&gt;3,"",LEFT(TEXT(DATE('Year summary'!$B$3,3,22),"ddd"),2))</f>
        <v/>
      </c>
      <c r="X5" s="5">
        <f>IF(MONTH(DATE('Year summary'!$B$3,3,23))&lt;&gt;3,"",LEFT(TEXT(DATE('Year summary'!$B$3,3,23),"ddd"),2))</f>
        <v/>
      </c>
      <c r="Y5" s="5">
        <f>IF(MONTH(DATE('Year summary'!$B$3,3,24))&lt;&gt;3,"",LEFT(TEXT(DATE('Year summary'!$B$3,3,24),"ddd"),2))</f>
        <v/>
      </c>
      <c r="Z5" s="5">
        <f>IF(MONTH(DATE('Year summary'!$B$3,3,25))&lt;&gt;3,"",LEFT(TEXT(DATE('Year summary'!$B$3,3,25),"ddd"),2))</f>
        <v/>
      </c>
      <c r="AA5" s="5">
        <f>IF(MONTH(DATE('Year summary'!$B$3,3,26))&lt;&gt;3,"",LEFT(TEXT(DATE('Year summary'!$B$3,3,26),"ddd"),2))</f>
        <v/>
      </c>
      <c r="AB5" s="5">
        <f>IF(MONTH(DATE('Year summary'!$B$3,3,27))&lt;&gt;3,"",LEFT(TEXT(DATE('Year summary'!$B$3,3,27),"ddd"),2))</f>
        <v/>
      </c>
      <c r="AC5" s="5">
        <f>IF(MONTH(DATE('Year summary'!$B$3,3,28))&lt;&gt;3,"",LEFT(TEXT(DATE('Year summary'!$B$3,3,28),"ddd"),2))</f>
        <v/>
      </c>
      <c r="AD5" s="5">
        <f>IF(MONTH(DATE('Year summary'!$B$3,3,29))&lt;&gt;3,"",LEFT(TEXT(DATE('Year summary'!$B$3,3,29),"ddd"),2))</f>
        <v/>
      </c>
      <c r="AE5" s="5">
        <f>IF(MONTH(DATE('Year summary'!$B$3,3,30))&lt;&gt;3,"",LEFT(TEXT(DATE('Year summary'!$B$3,3,30),"ddd"),2))</f>
        <v/>
      </c>
      <c r="AF5" s="5">
        <f>IF(MONTH(DATE('Year summary'!$B$3,3,31))&lt;&gt;3,"",LEFT(TEXT(DATE('Year summary'!$B$3,3,31),"ddd"),2))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summary'!$B$3,3,1))&gt;0,"H",""))</f>
        <v/>
      </c>
      <c r="C6" s="14">
        <f>IF(C$4="","",IF(COUNTIF('Year summary'!$A$30:$A$59,DATE('Year summary'!$B$3,3,2))&gt;0,"H",""))</f>
        <v/>
      </c>
      <c r="D6" s="14">
        <f>IF(D$4="","",IF(COUNTIF('Year summary'!$A$30:$A$59,DATE('Year summary'!$B$3,3,3))&gt;0,"H",""))</f>
        <v/>
      </c>
      <c r="E6" s="14">
        <f>IF(E$4="","",IF(COUNTIF('Year summary'!$A$30:$A$59,DATE('Year summary'!$B$3,3,4))&gt;0,"H",""))</f>
        <v/>
      </c>
      <c r="F6" s="14">
        <f>IF(F$4="","",IF(COUNTIF('Year summary'!$A$30:$A$59,DATE('Year summary'!$B$3,3,5))&gt;0,"H",""))</f>
        <v/>
      </c>
      <c r="G6" s="14">
        <f>IF(G$4="","",IF(COUNTIF('Year summary'!$A$30:$A$59,DATE('Year summary'!$B$3,3,6))&gt;0,"H",""))</f>
        <v/>
      </c>
      <c r="H6" s="14">
        <f>IF(H$4="","",IF(COUNTIF('Year summary'!$A$30:$A$59,DATE('Year summary'!$B$3,3,7))&gt;0,"H",""))</f>
        <v/>
      </c>
      <c r="I6" s="14">
        <f>IF(I$4="","",IF(COUNTIF('Year summary'!$A$30:$A$59,DATE('Year summary'!$B$3,3,8))&gt;0,"H",""))</f>
        <v/>
      </c>
      <c r="J6" s="14">
        <f>IF(J$4="","",IF(COUNTIF('Year summary'!$A$30:$A$59,DATE('Year summary'!$B$3,3,9))&gt;0,"H",""))</f>
        <v/>
      </c>
      <c r="K6" s="14">
        <f>IF(K$4="","",IF(COUNTIF('Year summary'!$A$30:$A$59,DATE('Year summary'!$B$3,3,10))&gt;0,"H",""))</f>
        <v/>
      </c>
      <c r="L6" s="14">
        <f>IF(L$4="","",IF(COUNTIF('Year summary'!$A$30:$A$59,DATE('Year summary'!$B$3,3,11))&gt;0,"H",""))</f>
        <v/>
      </c>
      <c r="M6" s="14">
        <f>IF(M$4="","",IF(COUNTIF('Year summary'!$A$30:$A$59,DATE('Year summary'!$B$3,3,12))&gt;0,"H",""))</f>
        <v/>
      </c>
      <c r="N6" s="14">
        <f>IF(N$4="","",IF(COUNTIF('Year summary'!$A$30:$A$59,DATE('Year summary'!$B$3,3,13))&gt;0,"H",""))</f>
        <v/>
      </c>
      <c r="O6" s="14">
        <f>IF(O$4="","",IF(COUNTIF('Year summary'!$A$30:$A$59,DATE('Year summary'!$B$3,3,14))&gt;0,"H",""))</f>
        <v/>
      </c>
      <c r="P6" s="14">
        <f>IF(P$4="","",IF(COUNTIF('Year summary'!$A$30:$A$59,DATE('Year summary'!$B$3,3,15))&gt;0,"H",""))</f>
        <v/>
      </c>
      <c r="Q6" s="14">
        <f>IF(Q$4="","",IF(COUNTIF('Year summary'!$A$30:$A$59,DATE('Year summary'!$B$3,3,16))&gt;0,"H",""))</f>
        <v/>
      </c>
      <c r="R6" s="14">
        <f>IF(R$4="","",IF(COUNTIF('Year summary'!$A$30:$A$59,DATE('Year summary'!$B$3,3,17))&gt;0,"H",""))</f>
        <v/>
      </c>
      <c r="S6" s="14">
        <f>IF(S$4="","",IF(COUNTIF('Year summary'!$A$30:$A$59,DATE('Year summary'!$B$3,3,18))&gt;0,"H",""))</f>
        <v/>
      </c>
      <c r="T6" s="14">
        <f>IF(T$4="","",IF(COUNTIF('Year summary'!$A$30:$A$59,DATE('Year summary'!$B$3,3,19))&gt;0,"H",""))</f>
        <v/>
      </c>
      <c r="U6" s="14">
        <f>IF(U$4="","",IF(COUNTIF('Year summary'!$A$30:$A$59,DATE('Year summary'!$B$3,3,20))&gt;0,"H",""))</f>
        <v/>
      </c>
      <c r="V6" s="14">
        <f>IF(V$4="","",IF(COUNTIF('Year summary'!$A$30:$A$59,DATE('Year summary'!$B$3,3,21))&gt;0,"H",""))</f>
        <v/>
      </c>
      <c r="W6" s="14">
        <f>IF(W$4="","",IF(COUNTIF('Year summary'!$A$30:$A$59,DATE('Year summary'!$B$3,3,22))&gt;0,"H",""))</f>
        <v/>
      </c>
      <c r="X6" s="14">
        <f>IF(X$4="","",IF(COUNTIF('Year summary'!$A$30:$A$59,DATE('Year summary'!$B$3,3,23))&gt;0,"H",""))</f>
        <v/>
      </c>
      <c r="Y6" s="14">
        <f>IF(Y$4="","",IF(COUNTIF('Year summary'!$A$30:$A$59,DATE('Year summary'!$B$3,3,24))&gt;0,"H",""))</f>
        <v/>
      </c>
      <c r="Z6" s="14">
        <f>IF(Z$4="","",IF(COUNTIF('Year summary'!$A$30:$A$59,DATE('Year summary'!$B$3,3,25))&gt;0,"H",""))</f>
        <v/>
      </c>
      <c r="AA6" s="14">
        <f>IF(AA$4="","",IF(COUNTIF('Year summary'!$A$30:$A$59,DATE('Year summary'!$B$3,3,26))&gt;0,"H",""))</f>
        <v/>
      </c>
      <c r="AB6" s="14">
        <f>IF(AB$4="","",IF(COUNTIF('Year summary'!$A$30:$A$59,DATE('Year summary'!$B$3,3,27))&gt;0,"H",""))</f>
        <v/>
      </c>
      <c r="AC6" s="14">
        <f>IF(AC$4="","",IF(COUNTIF('Year summary'!$A$30:$A$59,DATE('Year summary'!$B$3,3,28))&gt;0,"H",""))</f>
        <v/>
      </c>
      <c r="AD6" s="14">
        <f>IF(AD$4="","",IF(COUNTIF('Year summary'!$A$30:$A$59,DATE('Year summary'!$B$3,3,29))&gt;0,"H",""))</f>
        <v/>
      </c>
      <c r="AE6" s="14">
        <f>IF(AE$4="","",IF(COUNTIF('Year summary'!$A$30:$A$59,DATE('Year summary'!$B$3,3,30))&gt;0,"H",""))</f>
        <v/>
      </c>
      <c r="AF6" s="14">
        <f>IF(AF$4="","",IF(COUNTIF('Year summary'!$A$30:$A$59,DATE('Year summary'!$B$3,3,31))&gt;0,"H",""))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April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summary'!$B$3,4,1))&lt;&gt;4,"",1)</f>
        <v/>
      </c>
      <c r="C4" s="5">
        <f>IF(MONTH(DATE('Year summary'!$B$3,4,2))&lt;&gt;4,"",2)</f>
        <v/>
      </c>
      <c r="D4" s="5">
        <f>IF(MONTH(DATE('Year summary'!$B$3,4,3))&lt;&gt;4,"",3)</f>
        <v/>
      </c>
      <c r="E4" s="5">
        <f>IF(MONTH(DATE('Year summary'!$B$3,4,4))&lt;&gt;4,"",4)</f>
        <v/>
      </c>
      <c r="F4" s="5">
        <f>IF(MONTH(DATE('Year summary'!$B$3,4,5))&lt;&gt;4,"",5)</f>
        <v/>
      </c>
      <c r="G4" s="5">
        <f>IF(MONTH(DATE('Year summary'!$B$3,4,6))&lt;&gt;4,"",6)</f>
        <v/>
      </c>
      <c r="H4" s="5">
        <f>IF(MONTH(DATE('Year summary'!$B$3,4,7))&lt;&gt;4,"",7)</f>
        <v/>
      </c>
      <c r="I4" s="5">
        <f>IF(MONTH(DATE('Year summary'!$B$3,4,8))&lt;&gt;4,"",8)</f>
        <v/>
      </c>
      <c r="J4" s="5">
        <f>IF(MONTH(DATE('Year summary'!$B$3,4,9))&lt;&gt;4,"",9)</f>
        <v/>
      </c>
      <c r="K4" s="5">
        <f>IF(MONTH(DATE('Year summary'!$B$3,4,10))&lt;&gt;4,"",10)</f>
        <v/>
      </c>
      <c r="L4" s="5">
        <f>IF(MONTH(DATE('Year summary'!$B$3,4,11))&lt;&gt;4,"",11)</f>
        <v/>
      </c>
      <c r="M4" s="5">
        <f>IF(MONTH(DATE('Year summary'!$B$3,4,12))&lt;&gt;4,"",12)</f>
        <v/>
      </c>
      <c r="N4" s="5">
        <f>IF(MONTH(DATE('Year summary'!$B$3,4,13))&lt;&gt;4,"",13)</f>
        <v/>
      </c>
      <c r="O4" s="5">
        <f>IF(MONTH(DATE('Year summary'!$B$3,4,14))&lt;&gt;4,"",14)</f>
        <v/>
      </c>
      <c r="P4" s="5">
        <f>IF(MONTH(DATE('Year summary'!$B$3,4,15))&lt;&gt;4,"",15)</f>
        <v/>
      </c>
      <c r="Q4" s="5">
        <f>IF(MONTH(DATE('Year summary'!$B$3,4,16))&lt;&gt;4,"",16)</f>
        <v/>
      </c>
      <c r="R4" s="5">
        <f>IF(MONTH(DATE('Year summary'!$B$3,4,17))&lt;&gt;4,"",17)</f>
        <v/>
      </c>
      <c r="S4" s="5">
        <f>IF(MONTH(DATE('Year summary'!$B$3,4,18))&lt;&gt;4,"",18)</f>
        <v/>
      </c>
      <c r="T4" s="5">
        <f>IF(MONTH(DATE('Year summary'!$B$3,4,19))&lt;&gt;4,"",19)</f>
        <v/>
      </c>
      <c r="U4" s="5">
        <f>IF(MONTH(DATE('Year summary'!$B$3,4,20))&lt;&gt;4,"",20)</f>
        <v/>
      </c>
      <c r="V4" s="5">
        <f>IF(MONTH(DATE('Year summary'!$B$3,4,21))&lt;&gt;4,"",21)</f>
        <v/>
      </c>
      <c r="W4" s="5">
        <f>IF(MONTH(DATE('Year summary'!$B$3,4,22))&lt;&gt;4,"",22)</f>
        <v/>
      </c>
      <c r="X4" s="5">
        <f>IF(MONTH(DATE('Year summary'!$B$3,4,23))&lt;&gt;4,"",23)</f>
        <v/>
      </c>
      <c r="Y4" s="5">
        <f>IF(MONTH(DATE('Year summary'!$B$3,4,24))&lt;&gt;4,"",24)</f>
        <v/>
      </c>
      <c r="Z4" s="5">
        <f>IF(MONTH(DATE('Year summary'!$B$3,4,25))&lt;&gt;4,"",25)</f>
        <v/>
      </c>
      <c r="AA4" s="5">
        <f>IF(MONTH(DATE('Year summary'!$B$3,4,26))&lt;&gt;4,"",26)</f>
        <v/>
      </c>
      <c r="AB4" s="5">
        <f>IF(MONTH(DATE('Year summary'!$B$3,4,27))&lt;&gt;4,"",27)</f>
        <v/>
      </c>
      <c r="AC4" s="5">
        <f>IF(MONTH(DATE('Year summary'!$B$3,4,28))&lt;&gt;4,"",28)</f>
        <v/>
      </c>
      <c r="AD4" s="5">
        <f>IF(MONTH(DATE('Year summary'!$B$3,4,29))&lt;&gt;4,"",29)</f>
        <v/>
      </c>
      <c r="AE4" s="5">
        <f>IF(MONTH(DATE('Year summary'!$B$3,4,30))&lt;&gt;4,"",30)</f>
        <v/>
      </c>
      <c r="AF4" s="5">
        <f>IF(MONTH(DATE('Year summary'!$B$3,4,31))&lt;&gt;4,"",31)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summary'!$B$3,4,1))&lt;&gt;4,"",LEFT(TEXT(DATE('Year summary'!$B$3,4,1),"ddd"),2))</f>
        <v/>
      </c>
      <c r="C5" s="5">
        <f>IF(MONTH(DATE('Year summary'!$B$3,4,2))&lt;&gt;4,"",LEFT(TEXT(DATE('Year summary'!$B$3,4,2),"ddd"),2))</f>
        <v/>
      </c>
      <c r="D5" s="5">
        <f>IF(MONTH(DATE('Year summary'!$B$3,4,3))&lt;&gt;4,"",LEFT(TEXT(DATE('Year summary'!$B$3,4,3),"ddd"),2))</f>
        <v/>
      </c>
      <c r="E5" s="5">
        <f>IF(MONTH(DATE('Year summary'!$B$3,4,4))&lt;&gt;4,"",LEFT(TEXT(DATE('Year summary'!$B$3,4,4),"ddd"),2))</f>
        <v/>
      </c>
      <c r="F5" s="5">
        <f>IF(MONTH(DATE('Year summary'!$B$3,4,5))&lt;&gt;4,"",LEFT(TEXT(DATE('Year summary'!$B$3,4,5),"ddd"),2))</f>
        <v/>
      </c>
      <c r="G5" s="5">
        <f>IF(MONTH(DATE('Year summary'!$B$3,4,6))&lt;&gt;4,"",LEFT(TEXT(DATE('Year summary'!$B$3,4,6),"ddd"),2))</f>
        <v/>
      </c>
      <c r="H5" s="5">
        <f>IF(MONTH(DATE('Year summary'!$B$3,4,7))&lt;&gt;4,"",LEFT(TEXT(DATE('Year summary'!$B$3,4,7),"ddd"),2))</f>
        <v/>
      </c>
      <c r="I5" s="5">
        <f>IF(MONTH(DATE('Year summary'!$B$3,4,8))&lt;&gt;4,"",LEFT(TEXT(DATE('Year summary'!$B$3,4,8),"ddd"),2))</f>
        <v/>
      </c>
      <c r="J5" s="5">
        <f>IF(MONTH(DATE('Year summary'!$B$3,4,9))&lt;&gt;4,"",LEFT(TEXT(DATE('Year summary'!$B$3,4,9),"ddd"),2))</f>
        <v/>
      </c>
      <c r="K5" s="5">
        <f>IF(MONTH(DATE('Year summary'!$B$3,4,10))&lt;&gt;4,"",LEFT(TEXT(DATE('Year summary'!$B$3,4,10),"ddd"),2))</f>
        <v/>
      </c>
      <c r="L5" s="5">
        <f>IF(MONTH(DATE('Year summary'!$B$3,4,11))&lt;&gt;4,"",LEFT(TEXT(DATE('Year summary'!$B$3,4,11),"ddd"),2))</f>
        <v/>
      </c>
      <c r="M5" s="5">
        <f>IF(MONTH(DATE('Year summary'!$B$3,4,12))&lt;&gt;4,"",LEFT(TEXT(DATE('Year summary'!$B$3,4,12),"ddd"),2))</f>
        <v/>
      </c>
      <c r="N5" s="5">
        <f>IF(MONTH(DATE('Year summary'!$B$3,4,13))&lt;&gt;4,"",LEFT(TEXT(DATE('Year summary'!$B$3,4,13),"ddd"),2))</f>
        <v/>
      </c>
      <c r="O5" s="5">
        <f>IF(MONTH(DATE('Year summary'!$B$3,4,14))&lt;&gt;4,"",LEFT(TEXT(DATE('Year summary'!$B$3,4,14),"ddd"),2))</f>
        <v/>
      </c>
      <c r="P5" s="5">
        <f>IF(MONTH(DATE('Year summary'!$B$3,4,15))&lt;&gt;4,"",LEFT(TEXT(DATE('Year summary'!$B$3,4,15),"ddd"),2))</f>
        <v/>
      </c>
      <c r="Q5" s="5">
        <f>IF(MONTH(DATE('Year summary'!$B$3,4,16))&lt;&gt;4,"",LEFT(TEXT(DATE('Year summary'!$B$3,4,16),"ddd"),2))</f>
        <v/>
      </c>
      <c r="R5" s="5">
        <f>IF(MONTH(DATE('Year summary'!$B$3,4,17))&lt;&gt;4,"",LEFT(TEXT(DATE('Year summary'!$B$3,4,17),"ddd"),2))</f>
        <v/>
      </c>
      <c r="S5" s="5">
        <f>IF(MONTH(DATE('Year summary'!$B$3,4,18))&lt;&gt;4,"",LEFT(TEXT(DATE('Year summary'!$B$3,4,18),"ddd"),2))</f>
        <v/>
      </c>
      <c r="T5" s="5">
        <f>IF(MONTH(DATE('Year summary'!$B$3,4,19))&lt;&gt;4,"",LEFT(TEXT(DATE('Year summary'!$B$3,4,19),"ddd"),2))</f>
        <v/>
      </c>
      <c r="U5" s="5">
        <f>IF(MONTH(DATE('Year summary'!$B$3,4,20))&lt;&gt;4,"",LEFT(TEXT(DATE('Year summary'!$B$3,4,20),"ddd"),2))</f>
        <v/>
      </c>
      <c r="V5" s="5">
        <f>IF(MONTH(DATE('Year summary'!$B$3,4,21))&lt;&gt;4,"",LEFT(TEXT(DATE('Year summary'!$B$3,4,21),"ddd"),2))</f>
        <v/>
      </c>
      <c r="W5" s="5">
        <f>IF(MONTH(DATE('Year summary'!$B$3,4,22))&lt;&gt;4,"",LEFT(TEXT(DATE('Year summary'!$B$3,4,22),"ddd"),2))</f>
        <v/>
      </c>
      <c r="X5" s="5">
        <f>IF(MONTH(DATE('Year summary'!$B$3,4,23))&lt;&gt;4,"",LEFT(TEXT(DATE('Year summary'!$B$3,4,23),"ddd"),2))</f>
        <v/>
      </c>
      <c r="Y5" s="5">
        <f>IF(MONTH(DATE('Year summary'!$B$3,4,24))&lt;&gt;4,"",LEFT(TEXT(DATE('Year summary'!$B$3,4,24),"ddd"),2))</f>
        <v/>
      </c>
      <c r="Z5" s="5">
        <f>IF(MONTH(DATE('Year summary'!$B$3,4,25))&lt;&gt;4,"",LEFT(TEXT(DATE('Year summary'!$B$3,4,25),"ddd"),2))</f>
        <v/>
      </c>
      <c r="AA5" s="5">
        <f>IF(MONTH(DATE('Year summary'!$B$3,4,26))&lt;&gt;4,"",LEFT(TEXT(DATE('Year summary'!$B$3,4,26),"ddd"),2))</f>
        <v/>
      </c>
      <c r="AB5" s="5">
        <f>IF(MONTH(DATE('Year summary'!$B$3,4,27))&lt;&gt;4,"",LEFT(TEXT(DATE('Year summary'!$B$3,4,27),"ddd"),2))</f>
        <v/>
      </c>
      <c r="AC5" s="5">
        <f>IF(MONTH(DATE('Year summary'!$B$3,4,28))&lt;&gt;4,"",LEFT(TEXT(DATE('Year summary'!$B$3,4,28),"ddd"),2))</f>
        <v/>
      </c>
      <c r="AD5" s="5">
        <f>IF(MONTH(DATE('Year summary'!$B$3,4,29))&lt;&gt;4,"",LEFT(TEXT(DATE('Year summary'!$B$3,4,29),"ddd"),2))</f>
        <v/>
      </c>
      <c r="AE5" s="5">
        <f>IF(MONTH(DATE('Year summary'!$B$3,4,30))&lt;&gt;4,"",LEFT(TEXT(DATE('Year summary'!$B$3,4,30),"ddd"),2))</f>
        <v/>
      </c>
      <c r="AF5" s="5">
        <f>IF(MONTH(DATE('Year summary'!$B$3,4,31))&lt;&gt;4,"",LEFT(TEXT(DATE('Year summary'!$B$3,4,31),"ddd"),2))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summary'!$B$3,4,1))&gt;0,"H",""))</f>
        <v/>
      </c>
      <c r="C6" s="14">
        <f>IF(C$4="","",IF(COUNTIF('Year summary'!$A$30:$A$59,DATE('Year summary'!$B$3,4,2))&gt;0,"H",""))</f>
        <v/>
      </c>
      <c r="D6" s="14">
        <f>IF(D$4="","",IF(COUNTIF('Year summary'!$A$30:$A$59,DATE('Year summary'!$B$3,4,3))&gt;0,"H",""))</f>
        <v/>
      </c>
      <c r="E6" s="14">
        <f>IF(E$4="","",IF(COUNTIF('Year summary'!$A$30:$A$59,DATE('Year summary'!$B$3,4,4))&gt;0,"H",""))</f>
        <v/>
      </c>
      <c r="F6" s="14">
        <f>IF(F$4="","",IF(COUNTIF('Year summary'!$A$30:$A$59,DATE('Year summary'!$B$3,4,5))&gt;0,"H",""))</f>
        <v/>
      </c>
      <c r="G6" s="14">
        <f>IF(G$4="","",IF(COUNTIF('Year summary'!$A$30:$A$59,DATE('Year summary'!$B$3,4,6))&gt;0,"H",""))</f>
        <v/>
      </c>
      <c r="H6" s="14">
        <f>IF(H$4="","",IF(COUNTIF('Year summary'!$A$30:$A$59,DATE('Year summary'!$B$3,4,7))&gt;0,"H",""))</f>
        <v/>
      </c>
      <c r="I6" s="14">
        <f>IF(I$4="","",IF(COUNTIF('Year summary'!$A$30:$A$59,DATE('Year summary'!$B$3,4,8))&gt;0,"H",""))</f>
        <v/>
      </c>
      <c r="J6" s="14">
        <f>IF(J$4="","",IF(COUNTIF('Year summary'!$A$30:$A$59,DATE('Year summary'!$B$3,4,9))&gt;0,"H",""))</f>
        <v/>
      </c>
      <c r="K6" s="14">
        <f>IF(K$4="","",IF(COUNTIF('Year summary'!$A$30:$A$59,DATE('Year summary'!$B$3,4,10))&gt;0,"H",""))</f>
        <v/>
      </c>
      <c r="L6" s="14">
        <f>IF(L$4="","",IF(COUNTIF('Year summary'!$A$30:$A$59,DATE('Year summary'!$B$3,4,11))&gt;0,"H",""))</f>
        <v/>
      </c>
      <c r="M6" s="14">
        <f>IF(M$4="","",IF(COUNTIF('Year summary'!$A$30:$A$59,DATE('Year summary'!$B$3,4,12))&gt;0,"H",""))</f>
        <v/>
      </c>
      <c r="N6" s="14">
        <f>IF(N$4="","",IF(COUNTIF('Year summary'!$A$30:$A$59,DATE('Year summary'!$B$3,4,13))&gt;0,"H",""))</f>
        <v/>
      </c>
      <c r="O6" s="14">
        <f>IF(O$4="","",IF(COUNTIF('Year summary'!$A$30:$A$59,DATE('Year summary'!$B$3,4,14))&gt;0,"H",""))</f>
        <v/>
      </c>
      <c r="P6" s="14">
        <f>IF(P$4="","",IF(COUNTIF('Year summary'!$A$30:$A$59,DATE('Year summary'!$B$3,4,15))&gt;0,"H",""))</f>
        <v/>
      </c>
      <c r="Q6" s="14">
        <f>IF(Q$4="","",IF(COUNTIF('Year summary'!$A$30:$A$59,DATE('Year summary'!$B$3,4,16))&gt;0,"H",""))</f>
        <v/>
      </c>
      <c r="R6" s="14">
        <f>IF(R$4="","",IF(COUNTIF('Year summary'!$A$30:$A$59,DATE('Year summary'!$B$3,4,17))&gt;0,"H",""))</f>
        <v/>
      </c>
      <c r="S6" s="14">
        <f>IF(S$4="","",IF(COUNTIF('Year summary'!$A$30:$A$59,DATE('Year summary'!$B$3,4,18))&gt;0,"H",""))</f>
        <v/>
      </c>
      <c r="T6" s="14">
        <f>IF(T$4="","",IF(COUNTIF('Year summary'!$A$30:$A$59,DATE('Year summary'!$B$3,4,19))&gt;0,"H",""))</f>
        <v/>
      </c>
      <c r="U6" s="14">
        <f>IF(U$4="","",IF(COUNTIF('Year summary'!$A$30:$A$59,DATE('Year summary'!$B$3,4,20))&gt;0,"H",""))</f>
        <v/>
      </c>
      <c r="V6" s="14">
        <f>IF(V$4="","",IF(COUNTIF('Year summary'!$A$30:$A$59,DATE('Year summary'!$B$3,4,21))&gt;0,"H",""))</f>
        <v/>
      </c>
      <c r="W6" s="14">
        <f>IF(W$4="","",IF(COUNTIF('Year summary'!$A$30:$A$59,DATE('Year summary'!$B$3,4,22))&gt;0,"H",""))</f>
        <v/>
      </c>
      <c r="X6" s="14">
        <f>IF(X$4="","",IF(COUNTIF('Year summary'!$A$30:$A$59,DATE('Year summary'!$B$3,4,23))&gt;0,"H",""))</f>
        <v/>
      </c>
      <c r="Y6" s="14">
        <f>IF(Y$4="","",IF(COUNTIF('Year summary'!$A$30:$A$59,DATE('Year summary'!$B$3,4,24))&gt;0,"H",""))</f>
        <v/>
      </c>
      <c r="Z6" s="14">
        <f>IF(Z$4="","",IF(COUNTIF('Year summary'!$A$30:$A$59,DATE('Year summary'!$B$3,4,25))&gt;0,"H",""))</f>
        <v/>
      </c>
      <c r="AA6" s="14">
        <f>IF(AA$4="","",IF(COUNTIF('Year summary'!$A$30:$A$59,DATE('Year summary'!$B$3,4,26))&gt;0,"H",""))</f>
        <v/>
      </c>
      <c r="AB6" s="14">
        <f>IF(AB$4="","",IF(COUNTIF('Year summary'!$A$30:$A$59,DATE('Year summary'!$B$3,4,27))&gt;0,"H",""))</f>
        <v/>
      </c>
      <c r="AC6" s="14">
        <f>IF(AC$4="","",IF(COUNTIF('Year summary'!$A$30:$A$59,DATE('Year summary'!$B$3,4,28))&gt;0,"H",""))</f>
        <v/>
      </c>
      <c r="AD6" s="14">
        <f>IF(AD$4="","",IF(COUNTIF('Year summary'!$A$30:$A$59,DATE('Year summary'!$B$3,4,29))&gt;0,"H",""))</f>
        <v/>
      </c>
      <c r="AE6" s="14">
        <f>IF(AE$4="","",IF(COUNTIF('Year summary'!$A$30:$A$59,DATE('Year summary'!$B$3,4,30))&gt;0,"H",""))</f>
        <v/>
      </c>
      <c r="AF6" s="14">
        <f>IF(AF$4="","",IF(COUNTIF('Year summary'!$A$30:$A$59,DATE('Year summary'!$B$3,4,31))&gt;0,"H",""))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May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summary'!$B$3,5,1))&lt;&gt;5,"",1)</f>
        <v/>
      </c>
      <c r="C4" s="5">
        <f>IF(MONTH(DATE('Year summary'!$B$3,5,2))&lt;&gt;5,"",2)</f>
        <v/>
      </c>
      <c r="D4" s="5">
        <f>IF(MONTH(DATE('Year summary'!$B$3,5,3))&lt;&gt;5,"",3)</f>
        <v/>
      </c>
      <c r="E4" s="5">
        <f>IF(MONTH(DATE('Year summary'!$B$3,5,4))&lt;&gt;5,"",4)</f>
        <v/>
      </c>
      <c r="F4" s="5">
        <f>IF(MONTH(DATE('Year summary'!$B$3,5,5))&lt;&gt;5,"",5)</f>
        <v/>
      </c>
      <c r="G4" s="5">
        <f>IF(MONTH(DATE('Year summary'!$B$3,5,6))&lt;&gt;5,"",6)</f>
        <v/>
      </c>
      <c r="H4" s="5">
        <f>IF(MONTH(DATE('Year summary'!$B$3,5,7))&lt;&gt;5,"",7)</f>
        <v/>
      </c>
      <c r="I4" s="5">
        <f>IF(MONTH(DATE('Year summary'!$B$3,5,8))&lt;&gt;5,"",8)</f>
        <v/>
      </c>
      <c r="J4" s="5">
        <f>IF(MONTH(DATE('Year summary'!$B$3,5,9))&lt;&gt;5,"",9)</f>
        <v/>
      </c>
      <c r="K4" s="5">
        <f>IF(MONTH(DATE('Year summary'!$B$3,5,10))&lt;&gt;5,"",10)</f>
        <v/>
      </c>
      <c r="L4" s="5">
        <f>IF(MONTH(DATE('Year summary'!$B$3,5,11))&lt;&gt;5,"",11)</f>
        <v/>
      </c>
      <c r="M4" s="5">
        <f>IF(MONTH(DATE('Year summary'!$B$3,5,12))&lt;&gt;5,"",12)</f>
        <v/>
      </c>
      <c r="N4" s="5">
        <f>IF(MONTH(DATE('Year summary'!$B$3,5,13))&lt;&gt;5,"",13)</f>
        <v/>
      </c>
      <c r="O4" s="5">
        <f>IF(MONTH(DATE('Year summary'!$B$3,5,14))&lt;&gt;5,"",14)</f>
        <v/>
      </c>
      <c r="P4" s="5">
        <f>IF(MONTH(DATE('Year summary'!$B$3,5,15))&lt;&gt;5,"",15)</f>
        <v/>
      </c>
      <c r="Q4" s="5">
        <f>IF(MONTH(DATE('Year summary'!$B$3,5,16))&lt;&gt;5,"",16)</f>
        <v/>
      </c>
      <c r="R4" s="5">
        <f>IF(MONTH(DATE('Year summary'!$B$3,5,17))&lt;&gt;5,"",17)</f>
        <v/>
      </c>
      <c r="S4" s="5">
        <f>IF(MONTH(DATE('Year summary'!$B$3,5,18))&lt;&gt;5,"",18)</f>
        <v/>
      </c>
      <c r="T4" s="5">
        <f>IF(MONTH(DATE('Year summary'!$B$3,5,19))&lt;&gt;5,"",19)</f>
        <v/>
      </c>
      <c r="U4" s="5">
        <f>IF(MONTH(DATE('Year summary'!$B$3,5,20))&lt;&gt;5,"",20)</f>
        <v/>
      </c>
      <c r="V4" s="5">
        <f>IF(MONTH(DATE('Year summary'!$B$3,5,21))&lt;&gt;5,"",21)</f>
        <v/>
      </c>
      <c r="W4" s="5">
        <f>IF(MONTH(DATE('Year summary'!$B$3,5,22))&lt;&gt;5,"",22)</f>
        <v/>
      </c>
      <c r="X4" s="5">
        <f>IF(MONTH(DATE('Year summary'!$B$3,5,23))&lt;&gt;5,"",23)</f>
        <v/>
      </c>
      <c r="Y4" s="5">
        <f>IF(MONTH(DATE('Year summary'!$B$3,5,24))&lt;&gt;5,"",24)</f>
        <v/>
      </c>
      <c r="Z4" s="5">
        <f>IF(MONTH(DATE('Year summary'!$B$3,5,25))&lt;&gt;5,"",25)</f>
        <v/>
      </c>
      <c r="AA4" s="5">
        <f>IF(MONTH(DATE('Year summary'!$B$3,5,26))&lt;&gt;5,"",26)</f>
        <v/>
      </c>
      <c r="AB4" s="5">
        <f>IF(MONTH(DATE('Year summary'!$B$3,5,27))&lt;&gt;5,"",27)</f>
        <v/>
      </c>
      <c r="AC4" s="5">
        <f>IF(MONTH(DATE('Year summary'!$B$3,5,28))&lt;&gt;5,"",28)</f>
        <v/>
      </c>
      <c r="AD4" s="5">
        <f>IF(MONTH(DATE('Year summary'!$B$3,5,29))&lt;&gt;5,"",29)</f>
        <v/>
      </c>
      <c r="AE4" s="5">
        <f>IF(MONTH(DATE('Year summary'!$B$3,5,30))&lt;&gt;5,"",30)</f>
        <v/>
      </c>
      <c r="AF4" s="5">
        <f>IF(MONTH(DATE('Year summary'!$B$3,5,31))&lt;&gt;5,"",31)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summary'!$B$3,5,1))&lt;&gt;5,"",LEFT(TEXT(DATE('Year summary'!$B$3,5,1),"ddd"),2))</f>
        <v/>
      </c>
      <c r="C5" s="5">
        <f>IF(MONTH(DATE('Year summary'!$B$3,5,2))&lt;&gt;5,"",LEFT(TEXT(DATE('Year summary'!$B$3,5,2),"ddd"),2))</f>
        <v/>
      </c>
      <c r="D5" s="5">
        <f>IF(MONTH(DATE('Year summary'!$B$3,5,3))&lt;&gt;5,"",LEFT(TEXT(DATE('Year summary'!$B$3,5,3),"ddd"),2))</f>
        <v/>
      </c>
      <c r="E5" s="5">
        <f>IF(MONTH(DATE('Year summary'!$B$3,5,4))&lt;&gt;5,"",LEFT(TEXT(DATE('Year summary'!$B$3,5,4),"ddd"),2))</f>
        <v/>
      </c>
      <c r="F5" s="5">
        <f>IF(MONTH(DATE('Year summary'!$B$3,5,5))&lt;&gt;5,"",LEFT(TEXT(DATE('Year summary'!$B$3,5,5),"ddd"),2))</f>
        <v/>
      </c>
      <c r="G5" s="5">
        <f>IF(MONTH(DATE('Year summary'!$B$3,5,6))&lt;&gt;5,"",LEFT(TEXT(DATE('Year summary'!$B$3,5,6),"ddd"),2))</f>
        <v/>
      </c>
      <c r="H5" s="5">
        <f>IF(MONTH(DATE('Year summary'!$B$3,5,7))&lt;&gt;5,"",LEFT(TEXT(DATE('Year summary'!$B$3,5,7),"ddd"),2))</f>
        <v/>
      </c>
      <c r="I5" s="5">
        <f>IF(MONTH(DATE('Year summary'!$B$3,5,8))&lt;&gt;5,"",LEFT(TEXT(DATE('Year summary'!$B$3,5,8),"ddd"),2))</f>
        <v/>
      </c>
      <c r="J5" s="5">
        <f>IF(MONTH(DATE('Year summary'!$B$3,5,9))&lt;&gt;5,"",LEFT(TEXT(DATE('Year summary'!$B$3,5,9),"ddd"),2))</f>
        <v/>
      </c>
      <c r="K5" s="5">
        <f>IF(MONTH(DATE('Year summary'!$B$3,5,10))&lt;&gt;5,"",LEFT(TEXT(DATE('Year summary'!$B$3,5,10),"ddd"),2))</f>
        <v/>
      </c>
      <c r="L5" s="5">
        <f>IF(MONTH(DATE('Year summary'!$B$3,5,11))&lt;&gt;5,"",LEFT(TEXT(DATE('Year summary'!$B$3,5,11),"ddd"),2))</f>
        <v/>
      </c>
      <c r="M5" s="5">
        <f>IF(MONTH(DATE('Year summary'!$B$3,5,12))&lt;&gt;5,"",LEFT(TEXT(DATE('Year summary'!$B$3,5,12),"ddd"),2))</f>
        <v/>
      </c>
      <c r="N5" s="5">
        <f>IF(MONTH(DATE('Year summary'!$B$3,5,13))&lt;&gt;5,"",LEFT(TEXT(DATE('Year summary'!$B$3,5,13),"ddd"),2))</f>
        <v/>
      </c>
      <c r="O5" s="5">
        <f>IF(MONTH(DATE('Year summary'!$B$3,5,14))&lt;&gt;5,"",LEFT(TEXT(DATE('Year summary'!$B$3,5,14),"ddd"),2))</f>
        <v/>
      </c>
      <c r="P5" s="5">
        <f>IF(MONTH(DATE('Year summary'!$B$3,5,15))&lt;&gt;5,"",LEFT(TEXT(DATE('Year summary'!$B$3,5,15),"ddd"),2))</f>
        <v/>
      </c>
      <c r="Q5" s="5">
        <f>IF(MONTH(DATE('Year summary'!$B$3,5,16))&lt;&gt;5,"",LEFT(TEXT(DATE('Year summary'!$B$3,5,16),"ddd"),2))</f>
        <v/>
      </c>
      <c r="R5" s="5">
        <f>IF(MONTH(DATE('Year summary'!$B$3,5,17))&lt;&gt;5,"",LEFT(TEXT(DATE('Year summary'!$B$3,5,17),"ddd"),2))</f>
        <v/>
      </c>
      <c r="S5" s="5">
        <f>IF(MONTH(DATE('Year summary'!$B$3,5,18))&lt;&gt;5,"",LEFT(TEXT(DATE('Year summary'!$B$3,5,18),"ddd"),2))</f>
        <v/>
      </c>
      <c r="T5" s="5">
        <f>IF(MONTH(DATE('Year summary'!$B$3,5,19))&lt;&gt;5,"",LEFT(TEXT(DATE('Year summary'!$B$3,5,19),"ddd"),2))</f>
        <v/>
      </c>
      <c r="U5" s="5">
        <f>IF(MONTH(DATE('Year summary'!$B$3,5,20))&lt;&gt;5,"",LEFT(TEXT(DATE('Year summary'!$B$3,5,20),"ddd"),2))</f>
        <v/>
      </c>
      <c r="V5" s="5">
        <f>IF(MONTH(DATE('Year summary'!$B$3,5,21))&lt;&gt;5,"",LEFT(TEXT(DATE('Year summary'!$B$3,5,21),"ddd"),2))</f>
        <v/>
      </c>
      <c r="W5" s="5">
        <f>IF(MONTH(DATE('Year summary'!$B$3,5,22))&lt;&gt;5,"",LEFT(TEXT(DATE('Year summary'!$B$3,5,22),"ddd"),2))</f>
        <v/>
      </c>
      <c r="X5" s="5">
        <f>IF(MONTH(DATE('Year summary'!$B$3,5,23))&lt;&gt;5,"",LEFT(TEXT(DATE('Year summary'!$B$3,5,23),"ddd"),2))</f>
        <v/>
      </c>
      <c r="Y5" s="5">
        <f>IF(MONTH(DATE('Year summary'!$B$3,5,24))&lt;&gt;5,"",LEFT(TEXT(DATE('Year summary'!$B$3,5,24),"ddd"),2))</f>
        <v/>
      </c>
      <c r="Z5" s="5">
        <f>IF(MONTH(DATE('Year summary'!$B$3,5,25))&lt;&gt;5,"",LEFT(TEXT(DATE('Year summary'!$B$3,5,25),"ddd"),2))</f>
        <v/>
      </c>
      <c r="AA5" s="5">
        <f>IF(MONTH(DATE('Year summary'!$B$3,5,26))&lt;&gt;5,"",LEFT(TEXT(DATE('Year summary'!$B$3,5,26),"ddd"),2))</f>
        <v/>
      </c>
      <c r="AB5" s="5">
        <f>IF(MONTH(DATE('Year summary'!$B$3,5,27))&lt;&gt;5,"",LEFT(TEXT(DATE('Year summary'!$B$3,5,27),"ddd"),2))</f>
        <v/>
      </c>
      <c r="AC5" s="5">
        <f>IF(MONTH(DATE('Year summary'!$B$3,5,28))&lt;&gt;5,"",LEFT(TEXT(DATE('Year summary'!$B$3,5,28),"ddd"),2))</f>
        <v/>
      </c>
      <c r="AD5" s="5">
        <f>IF(MONTH(DATE('Year summary'!$B$3,5,29))&lt;&gt;5,"",LEFT(TEXT(DATE('Year summary'!$B$3,5,29),"ddd"),2))</f>
        <v/>
      </c>
      <c r="AE5" s="5">
        <f>IF(MONTH(DATE('Year summary'!$B$3,5,30))&lt;&gt;5,"",LEFT(TEXT(DATE('Year summary'!$B$3,5,30),"ddd"),2))</f>
        <v/>
      </c>
      <c r="AF5" s="5">
        <f>IF(MONTH(DATE('Year summary'!$B$3,5,31))&lt;&gt;5,"",LEFT(TEXT(DATE('Year summary'!$B$3,5,31),"ddd"),2))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summary'!$B$3,5,1))&gt;0,"H",""))</f>
        <v/>
      </c>
      <c r="C6" s="14">
        <f>IF(C$4="","",IF(COUNTIF('Year summary'!$A$30:$A$59,DATE('Year summary'!$B$3,5,2))&gt;0,"H",""))</f>
        <v/>
      </c>
      <c r="D6" s="14">
        <f>IF(D$4="","",IF(COUNTIF('Year summary'!$A$30:$A$59,DATE('Year summary'!$B$3,5,3))&gt;0,"H",""))</f>
        <v/>
      </c>
      <c r="E6" s="14">
        <f>IF(E$4="","",IF(COUNTIF('Year summary'!$A$30:$A$59,DATE('Year summary'!$B$3,5,4))&gt;0,"H",""))</f>
        <v/>
      </c>
      <c r="F6" s="14">
        <f>IF(F$4="","",IF(COUNTIF('Year summary'!$A$30:$A$59,DATE('Year summary'!$B$3,5,5))&gt;0,"H",""))</f>
        <v/>
      </c>
      <c r="G6" s="14">
        <f>IF(G$4="","",IF(COUNTIF('Year summary'!$A$30:$A$59,DATE('Year summary'!$B$3,5,6))&gt;0,"H",""))</f>
        <v/>
      </c>
      <c r="H6" s="14">
        <f>IF(H$4="","",IF(COUNTIF('Year summary'!$A$30:$A$59,DATE('Year summary'!$B$3,5,7))&gt;0,"H",""))</f>
        <v/>
      </c>
      <c r="I6" s="14">
        <f>IF(I$4="","",IF(COUNTIF('Year summary'!$A$30:$A$59,DATE('Year summary'!$B$3,5,8))&gt;0,"H",""))</f>
        <v/>
      </c>
      <c r="J6" s="14">
        <f>IF(J$4="","",IF(COUNTIF('Year summary'!$A$30:$A$59,DATE('Year summary'!$B$3,5,9))&gt;0,"H",""))</f>
        <v/>
      </c>
      <c r="K6" s="14">
        <f>IF(K$4="","",IF(COUNTIF('Year summary'!$A$30:$A$59,DATE('Year summary'!$B$3,5,10))&gt;0,"H",""))</f>
        <v/>
      </c>
      <c r="L6" s="14">
        <f>IF(L$4="","",IF(COUNTIF('Year summary'!$A$30:$A$59,DATE('Year summary'!$B$3,5,11))&gt;0,"H",""))</f>
        <v/>
      </c>
      <c r="M6" s="14">
        <f>IF(M$4="","",IF(COUNTIF('Year summary'!$A$30:$A$59,DATE('Year summary'!$B$3,5,12))&gt;0,"H",""))</f>
        <v/>
      </c>
      <c r="N6" s="14">
        <f>IF(N$4="","",IF(COUNTIF('Year summary'!$A$30:$A$59,DATE('Year summary'!$B$3,5,13))&gt;0,"H",""))</f>
        <v/>
      </c>
      <c r="O6" s="14">
        <f>IF(O$4="","",IF(COUNTIF('Year summary'!$A$30:$A$59,DATE('Year summary'!$B$3,5,14))&gt;0,"H",""))</f>
        <v/>
      </c>
      <c r="P6" s="14">
        <f>IF(P$4="","",IF(COUNTIF('Year summary'!$A$30:$A$59,DATE('Year summary'!$B$3,5,15))&gt;0,"H",""))</f>
        <v/>
      </c>
      <c r="Q6" s="14">
        <f>IF(Q$4="","",IF(COUNTIF('Year summary'!$A$30:$A$59,DATE('Year summary'!$B$3,5,16))&gt;0,"H",""))</f>
        <v/>
      </c>
      <c r="R6" s="14">
        <f>IF(R$4="","",IF(COUNTIF('Year summary'!$A$30:$A$59,DATE('Year summary'!$B$3,5,17))&gt;0,"H",""))</f>
        <v/>
      </c>
      <c r="S6" s="14">
        <f>IF(S$4="","",IF(COUNTIF('Year summary'!$A$30:$A$59,DATE('Year summary'!$B$3,5,18))&gt;0,"H",""))</f>
        <v/>
      </c>
      <c r="T6" s="14">
        <f>IF(T$4="","",IF(COUNTIF('Year summary'!$A$30:$A$59,DATE('Year summary'!$B$3,5,19))&gt;0,"H",""))</f>
        <v/>
      </c>
      <c r="U6" s="14">
        <f>IF(U$4="","",IF(COUNTIF('Year summary'!$A$30:$A$59,DATE('Year summary'!$B$3,5,20))&gt;0,"H",""))</f>
        <v/>
      </c>
      <c r="V6" s="14">
        <f>IF(V$4="","",IF(COUNTIF('Year summary'!$A$30:$A$59,DATE('Year summary'!$B$3,5,21))&gt;0,"H",""))</f>
        <v/>
      </c>
      <c r="W6" s="14">
        <f>IF(W$4="","",IF(COUNTIF('Year summary'!$A$30:$A$59,DATE('Year summary'!$B$3,5,22))&gt;0,"H",""))</f>
        <v/>
      </c>
      <c r="X6" s="14">
        <f>IF(X$4="","",IF(COUNTIF('Year summary'!$A$30:$A$59,DATE('Year summary'!$B$3,5,23))&gt;0,"H",""))</f>
        <v/>
      </c>
      <c r="Y6" s="14">
        <f>IF(Y$4="","",IF(COUNTIF('Year summary'!$A$30:$A$59,DATE('Year summary'!$B$3,5,24))&gt;0,"H",""))</f>
        <v/>
      </c>
      <c r="Z6" s="14">
        <f>IF(Z$4="","",IF(COUNTIF('Year summary'!$A$30:$A$59,DATE('Year summary'!$B$3,5,25))&gt;0,"H",""))</f>
        <v/>
      </c>
      <c r="AA6" s="14">
        <f>IF(AA$4="","",IF(COUNTIF('Year summary'!$A$30:$A$59,DATE('Year summary'!$B$3,5,26))&gt;0,"H",""))</f>
        <v/>
      </c>
      <c r="AB6" s="14">
        <f>IF(AB$4="","",IF(COUNTIF('Year summary'!$A$30:$A$59,DATE('Year summary'!$B$3,5,27))&gt;0,"H",""))</f>
        <v/>
      </c>
      <c r="AC6" s="14">
        <f>IF(AC$4="","",IF(COUNTIF('Year summary'!$A$30:$A$59,DATE('Year summary'!$B$3,5,28))&gt;0,"H",""))</f>
        <v/>
      </c>
      <c r="AD6" s="14">
        <f>IF(AD$4="","",IF(COUNTIF('Year summary'!$A$30:$A$59,DATE('Year summary'!$B$3,5,29))&gt;0,"H",""))</f>
        <v/>
      </c>
      <c r="AE6" s="14">
        <f>IF(AE$4="","",IF(COUNTIF('Year summary'!$A$30:$A$59,DATE('Year summary'!$B$3,5,30))&gt;0,"H",""))</f>
        <v/>
      </c>
      <c r="AF6" s="14">
        <f>IF(AF$4="","",IF(COUNTIF('Year summary'!$A$30:$A$59,DATE('Year summary'!$B$3,5,31))&gt;0,"H",""))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June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summary'!$B$3,6,1))&lt;&gt;6,"",1)</f>
        <v/>
      </c>
      <c r="C4" s="5">
        <f>IF(MONTH(DATE('Year summary'!$B$3,6,2))&lt;&gt;6,"",2)</f>
        <v/>
      </c>
      <c r="D4" s="5">
        <f>IF(MONTH(DATE('Year summary'!$B$3,6,3))&lt;&gt;6,"",3)</f>
        <v/>
      </c>
      <c r="E4" s="5">
        <f>IF(MONTH(DATE('Year summary'!$B$3,6,4))&lt;&gt;6,"",4)</f>
        <v/>
      </c>
      <c r="F4" s="5">
        <f>IF(MONTH(DATE('Year summary'!$B$3,6,5))&lt;&gt;6,"",5)</f>
        <v/>
      </c>
      <c r="G4" s="5">
        <f>IF(MONTH(DATE('Year summary'!$B$3,6,6))&lt;&gt;6,"",6)</f>
        <v/>
      </c>
      <c r="H4" s="5">
        <f>IF(MONTH(DATE('Year summary'!$B$3,6,7))&lt;&gt;6,"",7)</f>
        <v/>
      </c>
      <c r="I4" s="5">
        <f>IF(MONTH(DATE('Year summary'!$B$3,6,8))&lt;&gt;6,"",8)</f>
        <v/>
      </c>
      <c r="J4" s="5">
        <f>IF(MONTH(DATE('Year summary'!$B$3,6,9))&lt;&gt;6,"",9)</f>
        <v/>
      </c>
      <c r="K4" s="5">
        <f>IF(MONTH(DATE('Year summary'!$B$3,6,10))&lt;&gt;6,"",10)</f>
        <v/>
      </c>
      <c r="L4" s="5">
        <f>IF(MONTH(DATE('Year summary'!$B$3,6,11))&lt;&gt;6,"",11)</f>
        <v/>
      </c>
      <c r="M4" s="5">
        <f>IF(MONTH(DATE('Year summary'!$B$3,6,12))&lt;&gt;6,"",12)</f>
        <v/>
      </c>
      <c r="N4" s="5">
        <f>IF(MONTH(DATE('Year summary'!$B$3,6,13))&lt;&gt;6,"",13)</f>
        <v/>
      </c>
      <c r="O4" s="5">
        <f>IF(MONTH(DATE('Year summary'!$B$3,6,14))&lt;&gt;6,"",14)</f>
        <v/>
      </c>
      <c r="P4" s="5">
        <f>IF(MONTH(DATE('Year summary'!$B$3,6,15))&lt;&gt;6,"",15)</f>
        <v/>
      </c>
      <c r="Q4" s="5">
        <f>IF(MONTH(DATE('Year summary'!$B$3,6,16))&lt;&gt;6,"",16)</f>
        <v/>
      </c>
      <c r="R4" s="5">
        <f>IF(MONTH(DATE('Year summary'!$B$3,6,17))&lt;&gt;6,"",17)</f>
        <v/>
      </c>
      <c r="S4" s="5">
        <f>IF(MONTH(DATE('Year summary'!$B$3,6,18))&lt;&gt;6,"",18)</f>
        <v/>
      </c>
      <c r="T4" s="5">
        <f>IF(MONTH(DATE('Year summary'!$B$3,6,19))&lt;&gt;6,"",19)</f>
        <v/>
      </c>
      <c r="U4" s="5">
        <f>IF(MONTH(DATE('Year summary'!$B$3,6,20))&lt;&gt;6,"",20)</f>
        <v/>
      </c>
      <c r="V4" s="5">
        <f>IF(MONTH(DATE('Year summary'!$B$3,6,21))&lt;&gt;6,"",21)</f>
        <v/>
      </c>
      <c r="W4" s="5">
        <f>IF(MONTH(DATE('Year summary'!$B$3,6,22))&lt;&gt;6,"",22)</f>
        <v/>
      </c>
      <c r="X4" s="5">
        <f>IF(MONTH(DATE('Year summary'!$B$3,6,23))&lt;&gt;6,"",23)</f>
        <v/>
      </c>
      <c r="Y4" s="5">
        <f>IF(MONTH(DATE('Year summary'!$B$3,6,24))&lt;&gt;6,"",24)</f>
        <v/>
      </c>
      <c r="Z4" s="5">
        <f>IF(MONTH(DATE('Year summary'!$B$3,6,25))&lt;&gt;6,"",25)</f>
        <v/>
      </c>
      <c r="AA4" s="5">
        <f>IF(MONTH(DATE('Year summary'!$B$3,6,26))&lt;&gt;6,"",26)</f>
        <v/>
      </c>
      <c r="AB4" s="5">
        <f>IF(MONTH(DATE('Year summary'!$B$3,6,27))&lt;&gt;6,"",27)</f>
        <v/>
      </c>
      <c r="AC4" s="5">
        <f>IF(MONTH(DATE('Year summary'!$B$3,6,28))&lt;&gt;6,"",28)</f>
        <v/>
      </c>
      <c r="AD4" s="5">
        <f>IF(MONTH(DATE('Year summary'!$B$3,6,29))&lt;&gt;6,"",29)</f>
        <v/>
      </c>
      <c r="AE4" s="5">
        <f>IF(MONTH(DATE('Year summary'!$B$3,6,30))&lt;&gt;6,"",30)</f>
        <v/>
      </c>
      <c r="AF4" s="5">
        <f>IF(MONTH(DATE('Year summary'!$B$3,6,31))&lt;&gt;6,"",31)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summary'!$B$3,6,1))&lt;&gt;6,"",LEFT(TEXT(DATE('Year summary'!$B$3,6,1),"ddd"),2))</f>
        <v/>
      </c>
      <c r="C5" s="5">
        <f>IF(MONTH(DATE('Year summary'!$B$3,6,2))&lt;&gt;6,"",LEFT(TEXT(DATE('Year summary'!$B$3,6,2),"ddd"),2))</f>
        <v/>
      </c>
      <c r="D5" s="5">
        <f>IF(MONTH(DATE('Year summary'!$B$3,6,3))&lt;&gt;6,"",LEFT(TEXT(DATE('Year summary'!$B$3,6,3),"ddd"),2))</f>
        <v/>
      </c>
      <c r="E5" s="5">
        <f>IF(MONTH(DATE('Year summary'!$B$3,6,4))&lt;&gt;6,"",LEFT(TEXT(DATE('Year summary'!$B$3,6,4),"ddd"),2))</f>
        <v/>
      </c>
      <c r="F5" s="5">
        <f>IF(MONTH(DATE('Year summary'!$B$3,6,5))&lt;&gt;6,"",LEFT(TEXT(DATE('Year summary'!$B$3,6,5),"ddd"),2))</f>
        <v/>
      </c>
      <c r="G5" s="5">
        <f>IF(MONTH(DATE('Year summary'!$B$3,6,6))&lt;&gt;6,"",LEFT(TEXT(DATE('Year summary'!$B$3,6,6),"ddd"),2))</f>
        <v/>
      </c>
      <c r="H5" s="5">
        <f>IF(MONTH(DATE('Year summary'!$B$3,6,7))&lt;&gt;6,"",LEFT(TEXT(DATE('Year summary'!$B$3,6,7),"ddd"),2))</f>
        <v/>
      </c>
      <c r="I5" s="5">
        <f>IF(MONTH(DATE('Year summary'!$B$3,6,8))&lt;&gt;6,"",LEFT(TEXT(DATE('Year summary'!$B$3,6,8),"ddd"),2))</f>
        <v/>
      </c>
      <c r="J5" s="5">
        <f>IF(MONTH(DATE('Year summary'!$B$3,6,9))&lt;&gt;6,"",LEFT(TEXT(DATE('Year summary'!$B$3,6,9),"ddd"),2))</f>
        <v/>
      </c>
      <c r="K5" s="5">
        <f>IF(MONTH(DATE('Year summary'!$B$3,6,10))&lt;&gt;6,"",LEFT(TEXT(DATE('Year summary'!$B$3,6,10),"ddd"),2))</f>
        <v/>
      </c>
      <c r="L5" s="5">
        <f>IF(MONTH(DATE('Year summary'!$B$3,6,11))&lt;&gt;6,"",LEFT(TEXT(DATE('Year summary'!$B$3,6,11),"ddd"),2))</f>
        <v/>
      </c>
      <c r="M5" s="5">
        <f>IF(MONTH(DATE('Year summary'!$B$3,6,12))&lt;&gt;6,"",LEFT(TEXT(DATE('Year summary'!$B$3,6,12),"ddd"),2))</f>
        <v/>
      </c>
      <c r="N5" s="5">
        <f>IF(MONTH(DATE('Year summary'!$B$3,6,13))&lt;&gt;6,"",LEFT(TEXT(DATE('Year summary'!$B$3,6,13),"ddd"),2))</f>
        <v/>
      </c>
      <c r="O5" s="5">
        <f>IF(MONTH(DATE('Year summary'!$B$3,6,14))&lt;&gt;6,"",LEFT(TEXT(DATE('Year summary'!$B$3,6,14),"ddd"),2))</f>
        <v/>
      </c>
      <c r="P5" s="5">
        <f>IF(MONTH(DATE('Year summary'!$B$3,6,15))&lt;&gt;6,"",LEFT(TEXT(DATE('Year summary'!$B$3,6,15),"ddd"),2))</f>
        <v/>
      </c>
      <c r="Q5" s="5">
        <f>IF(MONTH(DATE('Year summary'!$B$3,6,16))&lt;&gt;6,"",LEFT(TEXT(DATE('Year summary'!$B$3,6,16),"ddd"),2))</f>
        <v/>
      </c>
      <c r="R5" s="5">
        <f>IF(MONTH(DATE('Year summary'!$B$3,6,17))&lt;&gt;6,"",LEFT(TEXT(DATE('Year summary'!$B$3,6,17),"ddd"),2))</f>
        <v/>
      </c>
      <c r="S5" s="5">
        <f>IF(MONTH(DATE('Year summary'!$B$3,6,18))&lt;&gt;6,"",LEFT(TEXT(DATE('Year summary'!$B$3,6,18),"ddd"),2))</f>
        <v/>
      </c>
      <c r="T5" s="5">
        <f>IF(MONTH(DATE('Year summary'!$B$3,6,19))&lt;&gt;6,"",LEFT(TEXT(DATE('Year summary'!$B$3,6,19),"ddd"),2))</f>
        <v/>
      </c>
      <c r="U5" s="5">
        <f>IF(MONTH(DATE('Year summary'!$B$3,6,20))&lt;&gt;6,"",LEFT(TEXT(DATE('Year summary'!$B$3,6,20),"ddd"),2))</f>
        <v/>
      </c>
      <c r="V5" s="5">
        <f>IF(MONTH(DATE('Year summary'!$B$3,6,21))&lt;&gt;6,"",LEFT(TEXT(DATE('Year summary'!$B$3,6,21),"ddd"),2))</f>
        <v/>
      </c>
      <c r="W5" s="5">
        <f>IF(MONTH(DATE('Year summary'!$B$3,6,22))&lt;&gt;6,"",LEFT(TEXT(DATE('Year summary'!$B$3,6,22),"ddd"),2))</f>
        <v/>
      </c>
      <c r="X5" s="5">
        <f>IF(MONTH(DATE('Year summary'!$B$3,6,23))&lt;&gt;6,"",LEFT(TEXT(DATE('Year summary'!$B$3,6,23),"ddd"),2))</f>
        <v/>
      </c>
      <c r="Y5" s="5">
        <f>IF(MONTH(DATE('Year summary'!$B$3,6,24))&lt;&gt;6,"",LEFT(TEXT(DATE('Year summary'!$B$3,6,24),"ddd"),2))</f>
        <v/>
      </c>
      <c r="Z5" s="5">
        <f>IF(MONTH(DATE('Year summary'!$B$3,6,25))&lt;&gt;6,"",LEFT(TEXT(DATE('Year summary'!$B$3,6,25),"ddd"),2))</f>
        <v/>
      </c>
      <c r="AA5" s="5">
        <f>IF(MONTH(DATE('Year summary'!$B$3,6,26))&lt;&gt;6,"",LEFT(TEXT(DATE('Year summary'!$B$3,6,26),"ddd"),2))</f>
        <v/>
      </c>
      <c r="AB5" s="5">
        <f>IF(MONTH(DATE('Year summary'!$B$3,6,27))&lt;&gt;6,"",LEFT(TEXT(DATE('Year summary'!$B$3,6,27),"ddd"),2))</f>
        <v/>
      </c>
      <c r="AC5" s="5">
        <f>IF(MONTH(DATE('Year summary'!$B$3,6,28))&lt;&gt;6,"",LEFT(TEXT(DATE('Year summary'!$B$3,6,28),"ddd"),2))</f>
        <v/>
      </c>
      <c r="AD5" s="5">
        <f>IF(MONTH(DATE('Year summary'!$B$3,6,29))&lt;&gt;6,"",LEFT(TEXT(DATE('Year summary'!$B$3,6,29),"ddd"),2))</f>
        <v/>
      </c>
      <c r="AE5" s="5">
        <f>IF(MONTH(DATE('Year summary'!$B$3,6,30))&lt;&gt;6,"",LEFT(TEXT(DATE('Year summary'!$B$3,6,30),"ddd"),2))</f>
        <v/>
      </c>
      <c r="AF5" s="5">
        <f>IF(MONTH(DATE('Year summary'!$B$3,6,31))&lt;&gt;6,"",LEFT(TEXT(DATE('Year summary'!$B$3,6,31),"ddd"),2))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summary'!$B$3,6,1))&gt;0,"H",""))</f>
        <v/>
      </c>
      <c r="C6" s="14">
        <f>IF(C$4="","",IF(COUNTIF('Year summary'!$A$30:$A$59,DATE('Year summary'!$B$3,6,2))&gt;0,"H",""))</f>
        <v/>
      </c>
      <c r="D6" s="14">
        <f>IF(D$4="","",IF(COUNTIF('Year summary'!$A$30:$A$59,DATE('Year summary'!$B$3,6,3))&gt;0,"H",""))</f>
        <v/>
      </c>
      <c r="E6" s="14">
        <f>IF(E$4="","",IF(COUNTIF('Year summary'!$A$30:$A$59,DATE('Year summary'!$B$3,6,4))&gt;0,"H",""))</f>
        <v/>
      </c>
      <c r="F6" s="14">
        <f>IF(F$4="","",IF(COUNTIF('Year summary'!$A$30:$A$59,DATE('Year summary'!$B$3,6,5))&gt;0,"H",""))</f>
        <v/>
      </c>
      <c r="G6" s="14">
        <f>IF(G$4="","",IF(COUNTIF('Year summary'!$A$30:$A$59,DATE('Year summary'!$B$3,6,6))&gt;0,"H",""))</f>
        <v/>
      </c>
      <c r="H6" s="14">
        <f>IF(H$4="","",IF(COUNTIF('Year summary'!$A$30:$A$59,DATE('Year summary'!$B$3,6,7))&gt;0,"H",""))</f>
        <v/>
      </c>
      <c r="I6" s="14">
        <f>IF(I$4="","",IF(COUNTIF('Year summary'!$A$30:$A$59,DATE('Year summary'!$B$3,6,8))&gt;0,"H",""))</f>
        <v/>
      </c>
      <c r="J6" s="14">
        <f>IF(J$4="","",IF(COUNTIF('Year summary'!$A$30:$A$59,DATE('Year summary'!$B$3,6,9))&gt;0,"H",""))</f>
        <v/>
      </c>
      <c r="K6" s="14">
        <f>IF(K$4="","",IF(COUNTIF('Year summary'!$A$30:$A$59,DATE('Year summary'!$B$3,6,10))&gt;0,"H",""))</f>
        <v/>
      </c>
      <c r="L6" s="14">
        <f>IF(L$4="","",IF(COUNTIF('Year summary'!$A$30:$A$59,DATE('Year summary'!$B$3,6,11))&gt;0,"H",""))</f>
        <v/>
      </c>
      <c r="M6" s="14">
        <f>IF(M$4="","",IF(COUNTIF('Year summary'!$A$30:$A$59,DATE('Year summary'!$B$3,6,12))&gt;0,"H",""))</f>
        <v/>
      </c>
      <c r="N6" s="14">
        <f>IF(N$4="","",IF(COUNTIF('Year summary'!$A$30:$A$59,DATE('Year summary'!$B$3,6,13))&gt;0,"H",""))</f>
        <v/>
      </c>
      <c r="O6" s="14">
        <f>IF(O$4="","",IF(COUNTIF('Year summary'!$A$30:$A$59,DATE('Year summary'!$B$3,6,14))&gt;0,"H",""))</f>
        <v/>
      </c>
      <c r="P6" s="14">
        <f>IF(P$4="","",IF(COUNTIF('Year summary'!$A$30:$A$59,DATE('Year summary'!$B$3,6,15))&gt;0,"H",""))</f>
        <v/>
      </c>
      <c r="Q6" s="14">
        <f>IF(Q$4="","",IF(COUNTIF('Year summary'!$A$30:$A$59,DATE('Year summary'!$B$3,6,16))&gt;0,"H",""))</f>
        <v/>
      </c>
      <c r="R6" s="14">
        <f>IF(R$4="","",IF(COUNTIF('Year summary'!$A$30:$A$59,DATE('Year summary'!$B$3,6,17))&gt;0,"H",""))</f>
        <v/>
      </c>
      <c r="S6" s="14">
        <f>IF(S$4="","",IF(COUNTIF('Year summary'!$A$30:$A$59,DATE('Year summary'!$B$3,6,18))&gt;0,"H",""))</f>
        <v/>
      </c>
      <c r="T6" s="14">
        <f>IF(T$4="","",IF(COUNTIF('Year summary'!$A$30:$A$59,DATE('Year summary'!$B$3,6,19))&gt;0,"H",""))</f>
        <v/>
      </c>
      <c r="U6" s="14">
        <f>IF(U$4="","",IF(COUNTIF('Year summary'!$A$30:$A$59,DATE('Year summary'!$B$3,6,20))&gt;0,"H",""))</f>
        <v/>
      </c>
      <c r="V6" s="14">
        <f>IF(V$4="","",IF(COUNTIF('Year summary'!$A$30:$A$59,DATE('Year summary'!$B$3,6,21))&gt;0,"H",""))</f>
        <v/>
      </c>
      <c r="W6" s="14">
        <f>IF(W$4="","",IF(COUNTIF('Year summary'!$A$30:$A$59,DATE('Year summary'!$B$3,6,22))&gt;0,"H",""))</f>
        <v/>
      </c>
      <c r="X6" s="14">
        <f>IF(X$4="","",IF(COUNTIF('Year summary'!$A$30:$A$59,DATE('Year summary'!$B$3,6,23))&gt;0,"H",""))</f>
        <v/>
      </c>
      <c r="Y6" s="14">
        <f>IF(Y$4="","",IF(COUNTIF('Year summary'!$A$30:$A$59,DATE('Year summary'!$B$3,6,24))&gt;0,"H",""))</f>
        <v/>
      </c>
      <c r="Z6" s="14">
        <f>IF(Z$4="","",IF(COUNTIF('Year summary'!$A$30:$A$59,DATE('Year summary'!$B$3,6,25))&gt;0,"H",""))</f>
        <v/>
      </c>
      <c r="AA6" s="14">
        <f>IF(AA$4="","",IF(COUNTIF('Year summary'!$A$30:$A$59,DATE('Year summary'!$B$3,6,26))&gt;0,"H",""))</f>
        <v/>
      </c>
      <c r="AB6" s="14">
        <f>IF(AB$4="","",IF(COUNTIF('Year summary'!$A$30:$A$59,DATE('Year summary'!$B$3,6,27))&gt;0,"H",""))</f>
        <v/>
      </c>
      <c r="AC6" s="14">
        <f>IF(AC$4="","",IF(COUNTIF('Year summary'!$A$30:$A$59,DATE('Year summary'!$B$3,6,28))&gt;0,"H",""))</f>
        <v/>
      </c>
      <c r="AD6" s="14">
        <f>IF(AD$4="","",IF(COUNTIF('Year summary'!$A$30:$A$59,DATE('Year summary'!$B$3,6,29))&gt;0,"H",""))</f>
        <v/>
      </c>
      <c r="AE6" s="14">
        <f>IF(AE$4="","",IF(COUNTIF('Year summary'!$A$30:$A$59,DATE('Year summary'!$B$3,6,30))&gt;0,"H",""))</f>
        <v/>
      </c>
      <c r="AF6" s="14">
        <f>IF(AF$4="","",IF(COUNTIF('Year summary'!$A$30:$A$59,DATE('Year summary'!$B$3,6,31))&gt;0,"H",""))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July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summary'!$B$3,7,1))&lt;&gt;7,"",1)</f>
        <v/>
      </c>
      <c r="C4" s="5">
        <f>IF(MONTH(DATE('Year summary'!$B$3,7,2))&lt;&gt;7,"",2)</f>
        <v/>
      </c>
      <c r="D4" s="5">
        <f>IF(MONTH(DATE('Year summary'!$B$3,7,3))&lt;&gt;7,"",3)</f>
        <v/>
      </c>
      <c r="E4" s="5">
        <f>IF(MONTH(DATE('Year summary'!$B$3,7,4))&lt;&gt;7,"",4)</f>
        <v/>
      </c>
      <c r="F4" s="5">
        <f>IF(MONTH(DATE('Year summary'!$B$3,7,5))&lt;&gt;7,"",5)</f>
        <v/>
      </c>
      <c r="G4" s="5">
        <f>IF(MONTH(DATE('Year summary'!$B$3,7,6))&lt;&gt;7,"",6)</f>
        <v/>
      </c>
      <c r="H4" s="5">
        <f>IF(MONTH(DATE('Year summary'!$B$3,7,7))&lt;&gt;7,"",7)</f>
        <v/>
      </c>
      <c r="I4" s="5">
        <f>IF(MONTH(DATE('Year summary'!$B$3,7,8))&lt;&gt;7,"",8)</f>
        <v/>
      </c>
      <c r="J4" s="5">
        <f>IF(MONTH(DATE('Year summary'!$B$3,7,9))&lt;&gt;7,"",9)</f>
        <v/>
      </c>
      <c r="K4" s="5">
        <f>IF(MONTH(DATE('Year summary'!$B$3,7,10))&lt;&gt;7,"",10)</f>
        <v/>
      </c>
      <c r="L4" s="5">
        <f>IF(MONTH(DATE('Year summary'!$B$3,7,11))&lt;&gt;7,"",11)</f>
        <v/>
      </c>
      <c r="M4" s="5">
        <f>IF(MONTH(DATE('Year summary'!$B$3,7,12))&lt;&gt;7,"",12)</f>
        <v/>
      </c>
      <c r="N4" s="5">
        <f>IF(MONTH(DATE('Year summary'!$B$3,7,13))&lt;&gt;7,"",13)</f>
        <v/>
      </c>
      <c r="O4" s="5">
        <f>IF(MONTH(DATE('Year summary'!$B$3,7,14))&lt;&gt;7,"",14)</f>
        <v/>
      </c>
      <c r="P4" s="5">
        <f>IF(MONTH(DATE('Year summary'!$B$3,7,15))&lt;&gt;7,"",15)</f>
        <v/>
      </c>
      <c r="Q4" s="5">
        <f>IF(MONTH(DATE('Year summary'!$B$3,7,16))&lt;&gt;7,"",16)</f>
        <v/>
      </c>
      <c r="R4" s="5">
        <f>IF(MONTH(DATE('Year summary'!$B$3,7,17))&lt;&gt;7,"",17)</f>
        <v/>
      </c>
      <c r="S4" s="5">
        <f>IF(MONTH(DATE('Year summary'!$B$3,7,18))&lt;&gt;7,"",18)</f>
        <v/>
      </c>
      <c r="T4" s="5">
        <f>IF(MONTH(DATE('Year summary'!$B$3,7,19))&lt;&gt;7,"",19)</f>
        <v/>
      </c>
      <c r="U4" s="5">
        <f>IF(MONTH(DATE('Year summary'!$B$3,7,20))&lt;&gt;7,"",20)</f>
        <v/>
      </c>
      <c r="V4" s="5">
        <f>IF(MONTH(DATE('Year summary'!$B$3,7,21))&lt;&gt;7,"",21)</f>
        <v/>
      </c>
      <c r="W4" s="5">
        <f>IF(MONTH(DATE('Year summary'!$B$3,7,22))&lt;&gt;7,"",22)</f>
        <v/>
      </c>
      <c r="X4" s="5">
        <f>IF(MONTH(DATE('Year summary'!$B$3,7,23))&lt;&gt;7,"",23)</f>
        <v/>
      </c>
      <c r="Y4" s="5">
        <f>IF(MONTH(DATE('Year summary'!$B$3,7,24))&lt;&gt;7,"",24)</f>
        <v/>
      </c>
      <c r="Z4" s="5">
        <f>IF(MONTH(DATE('Year summary'!$B$3,7,25))&lt;&gt;7,"",25)</f>
        <v/>
      </c>
      <c r="AA4" s="5">
        <f>IF(MONTH(DATE('Year summary'!$B$3,7,26))&lt;&gt;7,"",26)</f>
        <v/>
      </c>
      <c r="AB4" s="5">
        <f>IF(MONTH(DATE('Year summary'!$B$3,7,27))&lt;&gt;7,"",27)</f>
        <v/>
      </c>
      <c r="AC4" s="5">
        <f>IF(MONTH(DATE('Year summary'!$B$3,7,28))&lt;&gt;7,"",28)</f>
        <v/>
      </c>
      <c r="AD4" s="5">
        <f>IF(MONTH(DATE('Year summary'!$B$3,7,29))&lt;&gt;7,"",29)</f>
        <v/>
      </c>
      <c r="AE4" s="5">
        <f>IF(MONTH(DATE('Year summary'!$B$3,7,30))&lt;&gt;7,"",30)</f>
        <v/>
      </c>
      <c r="AF4" s="5">
        <f>IF(MONTH(DATE('Year summary'!$B$3,7,31))&lt;&gt;7,"",31)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summary'!$B$3,7,1))&lt;&gt;7,"",LEFT(TEXT(DATE('Year summary'!$B$3,7,1),"ddd"),2))</f>
        <v/>
      </c>
      <c r="C5" s="5">
        <f>IF(MONTH(DATE('Year summary'!$B$3,7,2))&lt;&gt;7,"",LEFT(TEXT(DATE('Year summary'!$B$3,7,2),"ddd"),2))</f>
        <v/>
      </c>
      <c r="D5" s="5">
        <f>IF(MONTH(DATE('Year summary'!$B$3,7,3))&lt;&gt;7,"",LEFT(TEXT(DATE('Year summary'!$B$3,7,3),"ddd"),2))</f>
        <v/>
      </c>
      <c r="E5" s="5">
        <f>IF(MONTH(DATE('Year summary'!$B$3,7,4))&lt;&gt;7,"",LEFT(TEXT(DATE('Year summary'!$B$3,7,4),"ddd"),2))</f>
        <v/>
      </c>
      <c r="F5" s="5">
        <f>IF(MONTH(DATE('Year summary'!$B$3,7,5))&lt;&gt;7,"",LEFT(TEXT(DATE('Year summary'!$B$3,7,5),"ddd"),2))</f>
        <v/>
      </c>
      <c r="G5" s="5">
        <f>IF(MONTH(DATE('Year summary'!$B$3,7,6))&lt;&gt;7,"",LEFT(TEXT(DATE('Year summary'!$B$3,7,6),"ddd"),2))</f>
        <v/>
      </c>
      <c r="H5" s="5">
        <f>IF(MONTH(DATE('Year summary'!$B$3,7,7))&lt;&gt;7,"",LEFT(TEXT(DATE('Year summary'!$B$3,7,7),"ddd"),2))</f>
        <v/>
      </c>
      <c r="I5" s="5">
        <f>IF(MONTH(DATE('Year summary'!$B$3,7,8))&lt;&gt;7,"",LEFT(TEXT(DATE('Year summary'!$B$3,7,8),"ddd"),2))</f>
        <v/>
      </c>
      <c r="J5" s="5">
        <f>IF(MONTH(DATE('Year summary'!$B$3,7,9))&lt;&gt;7,"",LEFT(TEXT(DATE('Year summary'!$B$3,7,9),"ddd"),2))</f>
        <v/>
      </c>
      <c r="K5" s="5">
        <f>IF(MONTH(DATE('Year summary'!$B$3,7,10))&lt;&gt;7,"",LEFT(TEXT(DATE('Year summary'!$B$3,7,10),"ddd"),2))</f>
        <v/>
      </c>
      <c r="L5" s="5">
        <f>IF(MONTH(DATE('Year summary'!$B$3,7,11))&lt;&gt;7,"",LEFT(TEXT(DATE('Year summary'!$B$3,7,11),"ddd"),2))</f>
        <v/>
      </c>
      <c r="M5" s="5">
        <f>IF(MONTH(DATE('Year summary'!$B$3,7,12))&lt;&gt;7,"",LEFT(TEXT(DATE('Year summary'!$B$3,7,12),"ddd"),2))</f>
        <v/>
      </c>
      <c r="N5" s="5">
        <f>IF(MONTH(DATE('Year summary'!$B$3,7,13))&lt;&gt;7,"",LEFT(TEXT(DATE('Year summary'!$B$3,7,13),"ddd"),2))</f>
        <v/>
      </c>
      <c r="O5" s="5">
        <f>IF(MONTH(DATE('Year summary'!$B$3,7,14))&lt;&gt;7,"",LEFT(TEXT(DATE('Year summary'!$B$3,7,14),"ddd"),2))</f>
        <v/>
      </c>
      <c r="P5" s="5">
        <f>IF(MONTH(DATE('Year summary'!$B$3,7,15))&lt;&gt;7,"",LEFT(TEXT(DATE('Year summary'!$B$3,7,15),"ddd"),2))</f>
        <v/>
      </c>
      <c r="Q5" s="5">
        <f>IF(MONTH(DATE('Year summary'!$B$3,7,16))&lt;&gt;7,"",LEFT(TEXT(DATE('Year summary'!$B$3,7,16),"ddd"),2))</f>
        <v/>
      </c>
      <c r="R5" s="5">
        <f>IF(MONTH(DATE('Year summary'!$B$3,7,17))&lt;&gt;7,"",LEFT(TEXT(DATE('Year summary'!$B$3,7,17),"ddd"),2))</f>
        <v/>
      </c>
      <c r="S5" s="5">
        <f>IF(MONTH(DATE('Year summary'!$B$3,7,18))&lt;&gt;7,"",LEFT(TEXT(DATE('Year summary'!$B$3,7,18),"ddd"),2))</f>
        <v/>
      </c>
      <c r="T5" s="5">
        <f>IF(MONTH(DATE('Year summary'!$B$3,7,19))&lt;&gt;7,"",LEFT(TEXT(DATE('Year summary'!$B$3,7,19),"ddd"),2))</f>
        <v/>
      </c>
      <c r="U5" s="5">
        <f>IF(MONTH(DATE('Year summary'!$B$3,7,20))&lt;&gt;7,"",LEFT(TEXT(DATE('Year summary'!$B$3,7,20),"ddd"),2))</f>
        <v/>
      </c>
      <c r="V5" s="5">
        <f>IF(MONTH(DATE('Year summary'!$B$3,7,21))&lt;&gt;7,"",LEFT(TEXT(DATE('Year summary'!$B$3,7,21),"ddd"),2))</f>
        <v/>
      </c>
      <c r="W5" s="5">
        <f>IF(MONTH(DATE('Year summary'!$B$3,7,22))&lt;&gt;7,"",LEFT(TEXT(DATE('Year summary'!$B$3,7,22),"ddd"),2))</f>
        <v/>
      </c>
      <c r="X5" s="5">
        <f>IF(MONTH(DATE('Year summary'!$B$3,7,23))&lt;&gt;7,"",LEFT(TEXT(DATE('Year summary'!$B$3,7,23),"ddd"),2))</f>
        <v/>
      </c>
      <c r="Y5" s="5">
        <f>IF(MONTH(DATE('Year summary'!$B$3,7,24))&lt;&gt;7,"",LEFT(TEXT(DATE('Year summary'!$B$3,7,24),"ddd"),2))</f>
        <v/>
      </c>
      <c r="Z5" s="5">
        <f>IF(MONTH(DATE('Year summary'!$B$3,7,25))&lt;&gt;7,"",LEFT(TEXT(DATE('Year summary'!$B$3,7,25),"ddd"),2))</f>
        <v/>
      </c>
      <c r="AA5" s="5">
        <f>IF(MONTH(DATE('Year summary'!$B$3,7,26))&lt;&gt;7,"",LEFT(TEXT(DATE('Year summary'!$B$3,7,26),"ddd"),2))</f>
        <v/>
      </c>
      <c r="AB5" s="5">
        <f>IF(MONTH(DATE('Year summary'!$B$3,7,27))&lt;&gt;7,"",LEFT(TEXT(DATE('Year summary'!$B$3,7,27),"ddd"),2))</f>
        <v/>
      </c>
      <c r="AC5" s="5">
        <f>IF(MONTH(DATE('Year summary'!$B$3,7,28))&lt;&gt;7,"",LEFT(TEXT(DATE('Year summary'!$B$3,7,28),"ddd"),2))</f>
        <v/>
      </c>
      <c r="AD5" s="5">
        <f>IF(MONTH(DATE('Year summary'!$B$3,7,29))&lt;&gt;7,"",LEFT(TEXT(DATE('Year summary'!$B$3,7,29),"ddd"),2))</f>
        <v/>
      </c>
      <c r="AE5" s="5">
        <f>IF(MONTH(DATE('Year summary'!$B$3,7,30))&lt;&gt;7,"",LEFT(TEXT(DATE('Year summary'!$B$3,7,30),"ddd"),2))</f>
        <v/>
      </c>
      <c r="AF5" s="5">
        <f>IF(MONTH(DATE('Year summary'!$B$3,7,31))&lt;&gt;7,"",LEFT(TEXT(DATE('Year summary'!$B$3,7,31),"ddd"),2))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summary'!$B$3,7,1))&gt;0,"H",""))</f>
        <v/>
      </c>
      <c r="C6" s="14">
        <f>IF(C$4="","",IF(COUNTIF('Year summary'!$A$30:$A$59,DATE('Year summary'!$B$3,7,2))&gt;0,"H",""))</f>
        <v/>
      </c>
      <c r="D6" s="14">
        <f>IF(D$4="","",IF(COUNTIF('Year summary'!$A$30:$A$59,DATE('Year summary'!$B$3,7,3))&gt;0,"H",""))</f>
        <v/>
      </c>
      <c r="E6" s="14">
        <f>IF(E$4="","",IF(COUNTIF('Year summary'!$A$30:$A$59,DATE('Year summary'!$B$3,7,4))&gt;0,"H",""))</f>
        <v/>
      </c>
      <c r="F6" s="14">
        <f>IF(F$4="","",IF(COUNTIF('Year summary'!$A$30:$A$59,DATE('Year summary'!$B$3,7,5))&gt;0,"H",""))</f>
        <v/>
      </c>
      <c r="G6" s="14">
        <f>IF(G$4="","",IF(COUNTIF('Year summary'!$A$30:$A$59,DATE('Year summary'!$B$3,7,6))&gt;0,"H",""))</f>
        <v/>
      </c>
      <c r="H6" s="14">
        <f>IF(H$4="","",IF(COUNTIF('Year summary'!$A$30:$A$59,DATE('Year summary'!$B$3,7,7))&gt;0,"H",""))</f>
        <v/>
      </c>
      <c r="I6" s="14">
        <f>IF(I$4="","",IF(COUNTIF('Year summary'!$A$30:$A$59,DATE('Year summary'!$B$3,7,8))&gt;0,"H",""))</f>
        <v/>
      </c>
      <c r="J6" s="14">
        <f>IF(J$4="","",IF(COUNTIF('Year summary'!$A$30:$A$59,DATE('Year summary'!$B$3,7,9))&gt;0,"H",""))</f>
        <v/>
      </c>
      <c r="K6" s="14">
        <f>IF(K$4="","",IF(COUNTIF('Year summary'!$A$30:$A$59,DATE('Year summary'!$B$3,7,10))&gt;0,"H",""))</f>
        <v/>
      </c>
      <c r="L6" s="14">
        <f>IF(L$4="","",IF(COUNTIF('Year summary'!$A$30:$A$59,DATE('Year summary'!$B$3,7,11))&gt;0,"H",""))</f>
        <v/>
      </c>
      <c r="M6" s="14">
        <f>IF(M$4="","",IF(COUNTIF('Year summary'!$A$30:$A$59,DATE('Year summary'!$B$3,7,12))&gt;0,"H",""))</f>
        <v/>
      </c>
      <c r="N6" s="14">
        <f>IF(N$4="","",IF(COUNTIF('Year summary'!$A$30:$A$59,DATE('Year summary'!$B$3,7,13))&gt;0,"H",""))</f>
        <v/>
      </c>
      <c r="O6" s="14">
        <f>IF(O$4="","",IF(COUNTIF('Year summary'!$A$30:$A$59,DATE('Year summary'!$B$3,7,14))&gt;0,"H",""))</f>
        <v/>
      </c>
      <c r="P6" s="14">
        <f>IF(P$4="","",IF(COUNTIF('Year summary'!$A$30:$A$59,DATE('Year summary'!$B$3,7,15))&gt;0,"H",""))</f>
        <v/>
      </c>
      <c r="Q6" s="14">
        <f>IF(Q$4="","",IF(COUNTIF('Year summary'!$A$30:$A$59,DATE('Year summary'!$B$3,7,16))&gt;0,"H",""))</f>
        <v/>
      </c>
      <c r="R6" s="14">
        <f>IF(R$4="","",IF(COUNTIF('Year summary'!$A$30:$A$59,DATE('Year summary'!$B$3,7,17))&gt;0,"H",""))</f>
        <v/>
      </c>
      <c r="S6" s="14">
        <f>IF(S$4="","",IF(COUNTIF('Year summary'!$A$30:$A$59,DATE('Year summary'!$B$3,7,18))&gt;0,"H",""))</f>
        <v/>
      </c>
      <c r="T6" s="14">
        <f>IF(T$4="","",IF(COUNTIF('Year summary'!$A$30:$A$59,DATE('Year summary'!$B$3,7,19))&gt;0,"H",""))</f>
        <v/>
      </c>
      <c r="U6" s="14">
        <f>IF(U$4="","",IF(COUNTIF('Year summary'!$A$30:$A$59,DATE('Year summary'!$B$3,7,20))&gt;0,"H",""))</f>
        <v/>
      </c>
      <c r="V6" s="14">
        <f>IF(V$4="","",IF(COUNTIF('Year summary'!$A$30:$A$59,DATE('Year summary'!$B$3,7,21))&gt;0,"H",""))</f>
        <v/>
      </c>
      <c r="W6" s="14">
        <f>IF(W$4="","",IF(COUNTIF('Year summary'!$A$30:$A$59,DATE('Year summary'!$B$3,7,22))&gt;0,"H",""))</f>
        <v/>
      </c>
      <c r="X6" s="14">
        <f>IF(X$4="","",IF(COUNTIF('Year summary'!$A$30:$A$59,DATE('Year summary'!$B$3,7,23))&gt;0,"H",""))</f>
        <v/>
      </c>
      <c r="Y6" s="14">
        <f>IF(Y$4="","",IF(COUNTIF('Year summary'!$A$30:$A$59,DATE('Year summary'!$B$3,7,24))&gt;0,"H",""))</f>
        <v/>
      </c>
      <c r="Z6" s="14">
        <f>IF(Z$4="","",IF(COUNTIF('Year summary'!$A$30:$A$59,DATE('Year summary'!$B$3,7,25))&gt;0,"H",""))</f>
        <v/>
      </c>
      <c r="AA6" s="14">
        <f>IF(AA$4="","",IF(COUNTIF('Year summary'!$A$30:$A$59,DATE('Year summary'!$B$3,7,26))&gt;0,"H",""))</f>
        <v/>
      </c>
      <c r="AB6" s="14">
        <f>IF(AB$4="","",IF(COUNTIF('Year summary'!$A$30:$A$59,DATE('Year summary'!$B$3,7,27))&gt;0,"H",""))</f>
        <v/>
      </c>
      <c r="AC6" s="14">
        <f>IF(AC$4="","",IF(COUNTIF('Year summary'!$A$30:$A$59,DATE('Year summary'!$B$3,7,28))&gt;0,"H",""))</f>
        <v/>
      </c>
      <c r="AD6" s="14">
        <f>IF(AD$4="","",IF(COUNTIF('Year summary'!$A$30:$A$59,DATE('Year summary'!$B$3,7,29))&gt;0,"H",""))</f>
        <v/>
      </c>
      <c r="AE6" s="14">
        <f>IF(AE$4="","",IF(COUNTIF('Year summary'!$A$30:$A$59,DATE('Year summary'!$B$3,7,30))&gt;0,"H",""))</f>
        <v/>
      </c>
      <c r="AF6" s="14">
        <f>IF(AF$4="","",IF(COUNTIF('Year summary'!$A$30:$A$59,DATE('Year summary'!$B$3,7,31))&gt;0,"H",""))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August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summary'!$B$3,8,1))&lt;&gt;8,"",1)</f>
        <v/>
      </c>
      <c r="C4" s="5">
        <f>IF(MONTH(DATE('Year summary'!$B$3,8,2))&lt;&gt;8,"",2)</f>
        <v/>
      </c>
      <c r="D4" s="5">
        <f>IF(MONTH(DATE('Year summary'!$B$3,8,3))&lt;&gt;8,"",3)</f>
        <v/>
      </c>
      <c r="E4" s="5">
        <f>IF(MONTH(DATE('Year summary'!$B$3,8,4))&lt;&gt;8,"",4)</f>
        <v/>
      </c>
      <c r="F4" s="5">
        <f>IF(MONTH(DATE('Year summary'!$B$3,8,5))&lt;&gt;8,"",5)</f>
        <v/>
      </c>
      <c r="G4" s="5">
        <f>IF(MONTH(DATE('Year summary'!$B$3,8,6))&lt;&gt;8,"",6)</f>
        <v/>
      </c>
      <c r="H4" s="5">
        <f>IF(MONTH(DATE('Year summary'!$B$3,8,7))&lt;&gt;8,"",7)</f>
        <v/>
      </c>
      <c r="I4" s="5">
        <f>IF(MONTH(DATE('Year summary'!$B$3,8,8))&lt;&gt;8,"",8)</f>
        <v/>
      </c>
      <c r="J4" s="5">
        <f>IF(MONTH(DATE('Year summary'!$B$3,8,9))&lt;&gt;8,"",9)</f>
        <v/>
      </c>
      <c r="K4" s="5">
        <f>IF(MONTH(DATE('Year summary'!$B$3,8,10))&lt;&gt;8,"",10)</f>
        <v/>
      </c>
      <c r="L4" s="5">
        <f>IF(MONTH(DATE('Year summary'!$B$3,8,11))&lt;&gt;8,"",11)</f>
        <v/>
      </c>
      <c r="M4" s="5">
        <f>IF(MONTH(DATE('Year summary'!$B$3,8,12))&lt;&gt;8,"",12)</f>
        <v/>
      </c>
      <c r="N4" s="5">
        <f>IF(MONTH(DATE('Year summary'!$B$3,8,13))&lt;&gt;8,"",13)</f>
        <v/>
      </c>
      <c r="O4" s="5">
        <f>IF(MONTH(DATE('Year summary'!$B$3,8,14))&lt;&gt;8,"",14)</f>
        <v/>
      </c>
      <c r="P4" s="5">
        <f>IF(MONTH(DATE('Year summary'!$B$3,8,15))&lt;&gt;8,"",15)</f>
        <v/>
      </c>
      <c r="Q4" s="5">
        <f>IF(MONTH(DATE('Year summary'!$B$3,8,16))&lt;&gt;8,"",16)</f>
        <v/>
      </c>
      <c r="R4" s="5">
        <f>IF(MONTH(DATE('Year summary'!$B$3,8,17))&lt;&gt;8,"",17)</f>
        <v/>
      </c>
      <c r="S4" s="5">
        <f>IF(MONTH(DATE('Year summary'!$B$3,8,18))&lt;&gt;8,"",18)</f>
        <v/>
      </c>
      <c r="T4" s="5">
        <f>IF(MONTH(DATE('Year summary'!$B$3,8,19))&lt;&gt;8,"",19)</f>
        <v/>
      </c>
      <c r="U4" s="5">
        <f>IF(MONTH(DATE('Year summary'!$B$3,8,20))&lt;&gt;8,"",20)</f>
        <v/>
      </c>
      <c r="V4" s="5">
        <f>IF(MONTH(DATE('Year summary'!$B$3,8,21))&lt;&gt;8,"",21)</f>
        <v/>
      </c>
      <c r="W4" s="5">
        <f>IF(MONTH(DATE('Year summary'!$B$3,8,22))&lt;&gt;8,"",22)</f>
        <v/>
      </c>
      <c r="X4" s="5">
        <f>IF(MONTH(DATE('Year summary'!$B$3,8,23))&lt;&gt;8,"",23)</f>
        <v/>
      </c>
      <c r="Y4" s="5">
        <f>IF(MONTH(DATE('Year summary'!$B$3,8,24))&lt;&gt;8,"",24)</f>
        <v/>
      </c>
      <c r="Z4" s="5">
        <f>IF(MONTH(DATE('Year summary'!$B$3,8,25))&lt;&gt;8,"",25)</f>
        <v/>
      </c>
      <c r="AA4" s="5">
        <f>IF(MONTH(DATE('Year summary'!$B$3,8,26))&lt;&gt;8,"",26)</f>
        <v/>
      </c>
      <c r="AB4" s="5">
        <f>IF(MONTH(DATE('Year summary'!$B$3,8,27))&lt;&gt;8,"",27)</f>
        <v/>
      </c>
      <c r="AC4" s="5">
        <f>IF(MONTH(DATE('Year summary'!$B$3,8,28))&lt;&gt;8,"",28)</f>
        <v/>
      </c>
      <c r="AD4" s="5">
        <f>IF(MONTH(DATE('Year summary'!$B$3,8,29))&lt;&gt;8,"",29)</f>
        <v/>
      </c>
      <c r="AE4" s="5">
        <f>IF(MONTH(DATE('Year summary'!$B$3,8,30))&lt;&gt;8,"",30)</f>
        <v/>
      </c>
      <c r="AF4" s="5">
        <f>IF(MONTH(DATE('Year summary'!$B$3,8,31))&lt;&gt;8,"",31)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summary'!$B$3,8,1))&lt;&gt;8,"",LEFT(TEXT(DATE('Year summary'!$B$3,8,1),"ddd"),2))</f>
        <v/>
      </c>
      <c r="C5" s="5">
        <f>IF(MONTH(DATE('Year summary'!$B$3,8,2))&lt;&gt;8,"",LEFT(TEXT(DATE('Year summary'!$B$3,8,2),"ddd"),2))</f>
        <v/>
      </c>
      <c r="D5" s="5">
        <f>IF(MONTH(DATE('Year summary'!$B$3,8,3))&lt;&gt;8,"",LEFT(TEXT(DATE('Year summary'!$B$3,8,3),"ddd"),2))</f>
        <v/>
      </c>
      <c r="E5" s="5">
        <f>IF(MONTH(DATE('Year summary'!$B$3,8,4))&lt;&gt;8,"",LEFT(TEXT(DATE('Year summary'!$B$3,8,4),"ddd"),2))</f>
        <v/>
      </c>
      <c r="F5" s="5">
        <f>IF(MONTH(DATE('Year summary'!$B$3,8,5))&lt;&gt;8,"",LEFT(TEXT(DATE('Year summary'!$B$3,8,5),"ddd"),2))</f>
        <v/>
      </c>
      <c r="G5" s="5">
        <f>IF(MONTH(DATE('Year summary'!$B$3,8,6))&lt;&gt;8,"",LEFT(TEXT(DATE('Year summary'!$B$3,8,6),"ddd"),2))</f>
        <v/>
      </c>
      <c r="H5" s="5">
        <f>IF(MONTH(DATE('Year summary'!$B$3,8,7))&lt;&gt;8,"",LEFT(TEXT(DATE('Year summary'!$B$3,8,7),"ddd"),2))</f>
        <v/>
      </c>
      <c r="I5" s="5">
        <f>IF(MONTH(DATE('Year summary'!$B$3,8,8))&lt;&gt;8,"",LEFT(TEXT(DATE('Year summary'!$B$3,8,8),"ddd"),2))</f>
        <v/>
      </c>
      <c r="J5" s="5">
        <f>IF(MONTH(DATE('Year summary'!$B$3,8,9))&lt;&gt;8,"",LEFT(TEXT(DATE('Year summary'!$B$3,8,9),"ddd"),2))</f>
        <v/>
      </c>
      <c r="K5" s="5">
        <f>IF(MONTH(DATE('Year summary'!$B$3,8,10))&lt;&gt;8,"",LEFT(TEXT(DATE('Year summary'!$B$3,8,10),"ddd"),2))</f>
        <v/>
      </c>
      <c r="L5" s="5">
        <f>IF(MONTH(DATE('Year summary'!$B$3,8,11))&lt;&gt;8,"",LEFT(TEXT(DATE('Year summary'!$B$3,8,11),"ddd"),2))</f>
        <v/>
      </c>
      <c r="M5" s="5">
        <f>IF(MONTH(DATE('Year summary'!$B$3,8,12))&lt;&gt;8,"",LEFT(TEXT(DATE('Year summary'!$B$3,8,12),"ddd"),2))</f>
        <v/>
      </c>
      <c r="N5" s="5">
        <f>IF(MONTH(DATE('Year summary'!$B$3,8,13))&lt;&gt;8,"",LEFT(TEXT(DATE('Year summary'!$B$3,8,13),"ddd"),2))</f>
        <v/>
      </c>
      <c r="O5" s="5">
        <f>IF(MONTH(DATE('Year summary'!$B$3,8,14))&lt;&gt;8,"",LEFT(TEXT(DATE('Year summary'!$B$3,8,14),"ddd"),2))</f>
        <v/>
      </c>
      <c r="P5" s="5">
        <f>IF(MONTH(DATE('Year summary'!$B$3,8,15))&lt;&gt;8,"",LEFT(TEXT(DATE('Year summary'!$B$3,8,15),"ddd"),2))</f>
        <v/>
      </c>
      <c r="Q5" s="5">
        <f>IF(MONTH(DATE('Year summary'!$B$3,8,16))&lt;&gt;8,"",LEFT(TEXT(DATE('Year summary'!$B$3,8,16),"ddd"),2))</f>
        <v/>
      </c>
      <c r="R5" s="5">
        <f>IF(MONTH(DATE('Year summary'!$B$3,8,17))&lt;&gt;8,"",LEFT(TEXT(DATE('Year summary'!$B$3,8,17),"ddd"),2))</f>
        <v/>
      </c>
      <c r="S5" s="5">
        <f>IF(MONTH(DATE('Year summary'!$B$3,8,18))&lt;&gt;8,"",LEFT(TEXT(DATE('Year summary'!$B$3,8,18),"ddd"),2))</f>
        <v/>
      </c>
      <c r="T5" s="5">
        <f>IF(MONTH(DATE('Year summary'!$B$3,8,19))&lt;&gt;8,"",LEFT(TEXT(DATE('Year summary'!$B$3,8,19),"ddd"),2))</f>
        <v/>
      </c>
      <c r="U5" s="5">
        <f>IF(MONTH(DATE('Year summary'!$B$3,8,20))&lt;&gt;8,"",LEFT(TEXT(DATE('Year summary'!$B$3,8,20),"ddd"),2))</f>
        <v/>
      </c>
      <c r="V5" s="5">
        <f>IF(MONTH(DATE('Year summary'!$B$3,8,21))&lt;&gt;8,"",LEFT(TEXT(DATE('Year summary'!$B$3,8,21),"ddd"),2))</f>
        <v/>
      </c>
      <c r="W5" s="5">
        <f>IF(MONTH(DATE('Year summary'!$B$3,8,22))&lt;&gt;8,"",LEFT(TEXT(DATE('Year summary'!$B$3,8,22),"ddd"),2))</f>
        <v/>
      </c>
      <c r="X5" s="5">
        <f>IF(MONTH(DATE('Year summary'!$B$3,8,23))&lt;&gt;8,"",LEFT(TEXT(DATE('Year summary'!$B$3,8,23),"ddd"),2))</f>
        <v/>
      </c>
      <c r="Y5" s="5">
        <f>IF(MONTH(DATE('Year summary'!$B$3,8,24))&lt;&gt;8,"",LEFT(TEXT(DATE('Year summary'!$B$3,8,24),"ddd"),2))</f>
        <v/>
      </c>
      <c r="Z5" s="5">
        <f>IF(MONTH(DATE('Year summary'!$B$3,8,25))&lt;&gt;8,"",LEFT(TEXT(DATE('Year summary'!$B$3,8,25),"ddd"),2))</f>
        <v/>
      </c>
      <c r="AA5" s="5">
        <f>IF(MONTH(DATE('Year summary'!$B$3,8,26))&lt;&gt;8,"",LEFT(TEXT(DATE('Year summary'!$B$3,8,26),"ddd"),2))</f>
        <v/>
      </c>
      <c r="AB5" s="5">
        <f>IF(MONTH(DATE('Year summary'!$B$3,8,27))&lt;&gt;8,"",LEFT(TEXT(DATE('Year summary'!$B$3,8,27),"ddd"),2))</f>
        <v/>
      </c>
      <c r="AC5" s="5">
        <f>IF(MONTH(DATE('Year summary'!$B$3,8,28))&lt;&gt;8,"",LEFT(TEXT(DATE('Year summary'!$B$3,8,28),"ddd"),2))</f>
        <v/>
      </c>
      <c r="AD5" s="5">
        <f>IF(MONTH(DATE('Year summary'!$B$3,8,29))&lt;&gt;8,"",LEFT(TEXT(DATE('Year summary'!$B$3,8,29),"ddd"),2))</f>
        <v/>
      </c>
      <c r="AE5" s="5">
        <f>IF(MONTH(DATE('Year summary'!$B$3,8,30))&lt;&gt;8,"",LEFT(TEXT(DATE('Year summary'!$B$3,8,30),"ddd"),2))</f>
        <v/>
      </c>
      <c r="AF5" s="5">
        <f>IF(MONTH(DATE('Year summary'!$B$3,8,31))&lt;&gt;8,"",LEFT(TEXT(DATE('Year summary'!$B$3,8,31),"ddd"),2))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summary'!$B$3,8,1))&gt;0,"H",""))</f>
        <v/>
      </c>
      <c r="C6" s="14">
        <f>IF(C$4="","",IF(COUNTIF('Year summary'!$A$30:$A$59,DATE('Year summary'!$B$3,8,2))&gt;0,"H",""))</f>
        <v/>
      </c>
      <c r="D6" s="14">
        <f>IF(D$4="","",IF(COUNTIF('Year summary'!$A$30:$A$59,DATE('Year summary'!$B$3,8,3))&gt;0,"H",""))</f>
        <v/>
      </c>
      <c r="E6" s="14">
        <f>IF(E$4="","",IF(COUNTIF('Year summary'!$A$30:$A$59,DATE('Year summary'!$B$3,8,4))&gt;0,"H",""))</f>
        <v/>
      </c>
      <c r="F6" s="14">
        <f>IF(F$4="","",IF(COUNTIF('Year summary'!$A$30:$A$59,DATE('Year summary'!$B$3,8,5))&gt;0,"H",""))</f>
        <v/>
      </c>
      <c r="G6" s="14">
        <f>IF(G$4="","",IF(COUNTIF('Year summary'!$A$30:$A$59,DATE('Year summary'!$B$3,8,6))&gt;0,"H",""))</f>
        <v/>
      </c>
      <c r="H6" s="14">
        <f>IF(H$4="","",IF(COUNTIF('Year summary'!$A$30:$A$59,DATE('Year summary'!$B$3,8,7))&gt;0,"H",""))</f>
        <v/>
      </c>
      <c r="I6" s="14">
        <f>IF(I$4="","",IF(COUNTIF('Year summary'!$A$30:$A$59,DATE('Year summary'!$B$3,8,8))&gt;0,"H",""))</f>
        <v/>
      </c>
      <c r="J6" s="14">
        <f>IF(J$4="","",IF(COUNTIF('Year summary'!$A$30:$A$59,DATE('Year summary'!$B$3,8,9))&gt;0,"H",""))</f>
        <v/>
      </c>
      <c r="K6" s="14">
        <f>IF(K$4="","",IF(COUNTIF('Year summary'!$A$30:$A$59,DATE('Year summary'!$B$3,8,10))&gt;0,"H",""))</f>
        <v/>
      </c>
      <c r="L6" s="14">
        <f>IF(L$4="","",IF(COUNTIF('Year summary'!$A$30:$A$59,DATE('Year summary'!$B$3,8,11))&gt;0,"H",""))</f>
        <v/>
      </c>
      <c r="M6" s="14">
        <f>IF(M$4="","",IF(COUNTIF('Year summary'!$A$30:$A$59,DATE('Year summary'!$B$3,8,12))&gt;0,"H",""))</f>
        <v/>
      </c>
      <c r="N6" s="14">
        <f>IF(N$4="","",IF(COUNTIF('Year summary'!$A$30:$A$59,DATE('Year summary'!$B$3,8,13))&gt;0,"H",""))</f>
        <v/>
      </c>
      <c r="O6" s="14">
        <f>IF(O$4="","",IF(COUNTIF('Year summary'!$A$30:$A$59,DATE('Year summary'!$B$3,8,14))&gt;0,"H",""))</f>
        <v/>
      </c>
      <c r="P6" s="14">
        <f>IF(P$4="","",IF(COUNTIF('Year summary'!$A$30:$A$59,DATE('Year summary'!$B$3,8,15))&gt;0,"H",""))</f>
        <v/>
      </c>
      <c r="Q6" s="14">
        <f>IF(Q$4="","",IF(COUNTIF('Year summary'!$A$30:$A$59,DATE('Year summary'!$B$3,8,16))&gt;0,"H",""))</f>
        <v/>
      </c>
      <c r="R6" s="14">
        <f>IF(R$4="","",IF(COUNTIF('Year summary'!$A$30:$A$59,DATE('Year summary'!$B$3,8,17))&gt;0,"H",""))</f>
        <v/>
      </c>
      <c r="S6" s="14">
        <f>IF(S$4="","",IF(COUNTIF('Year summary'!$A$30:$A$59,DATE('Year summary'!$B$3,8,18))&gt;0,"H",""))</f>
        <v/>
      </c>
      <c r="T6" s="14">
        <f>IF(T$4="","",IF(COUNTIF('Year summary'!$A$30:$A$59,DATE('Year summary'!$B$3,8,19))&gt;0,"H",""))</f>
        <v/>
      </c>
      <c r="U6" s="14">
        <f>IF(U$4="","",IF(COUNTIF('Year summary'!$A$30:$A$59,DATE('Year summary'!$B$3,8,20))&gt;0,"H",""))</f>
        <v/>
      </c>
      <c r="V6" s="14">
        <f>IF(V$4="","",IF(COUNTIF('Year summary'!$A$30:$A$59,DATE('Year summary'!$B$3,8,21))&gt;0,"H",""))</f>
        <v/>
      </c>
      <c r="W6" s="14">
        <f>IF(W$4="","",IF(COUNTIF('Year summary'!$A$30:$A$59,DATE('Year summary'!$B$3,8,22))&gt;0,"H",""))</f>
        <v/>
      </c>
      <c r="X6" s="14">
        <f>IF(X$4="","",IF(COUNTIF('Year summary'!$A$30:$A$59,DATE('Year summary'!$B$3,8,23))&gt;0,"H",""))</f>
        <v/>
      </c>
      <c r="Y6" s="14">
        <f>IF(Y$4="","",IF(COUNTIF('Year summary'!$A$30:$A$59,DATE('Year summary'!$B$3,8,24))&gt;0,"H",""))</f>
        <v/>
      </c>
      <c r="Z6" s="14">
        <f>IF(Z$4="","",IF(COUNTIF('Year summary'!$A$30:$A$59,DATE('Year summary'!$B$3,8,25))&gt;0,"H",""))</f>
        <v/>
      </c>
      <c r="AA6" s="14">
        <f>IF(AA$4="","",IF(COUNTIF('Year summary'!$A$30:$A$59,DATE('Year summary'!$B$3,8,26))&gt;0,"H",""))</f>
        <v/>
      </c>
      <c r="AB6" s="14">
        <f>IF(AB$4="","",IF(COUNTIF('Year summary'!$A$30:$A$59,DATE('Year summary'!$B$3,8,27))&gt;0,"H",""))</f>
        <v/>
      </c>
      <c r="AC6" s="14">
        <f>IF(AC$4="","",IF(COUNTIF('Year summary'!$A$30:$A$59,DATE('Year summary'!$B$3,8,28))&gt;0,"H",""))</f>
        <v/>
      </c>
      <c r="AD6" s="14">
        <f>IF(AD$4="","",IF(COUNTIF('Year summary'!$A$30:$A$59,DATE('Year summary'!$B$3,8,29))&gt;0,"H",""))</f>
        <v/>
      </c>
      <c r="AE6" s="14">
        <f>IF(AE$4="","",IF(COUNTIF('Year summary'!$A$30:$A$59,DATE('Year summary'!$B$3,8,30))&gt;0,"H",""))</f>
        <v/>
      </c>
      <c r="AF6" s="14">
        <f>IF(AF$4="","",IF(COUNTIF('Year summary'!$A$30:$A$59,DATE('Year summary'!$B$3,8,31))&gt;0,"H",""))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September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summary'!$B$3,9,1))&lt;&gt;9,"",1)</f>
        <v/>
      </c>
      <c r="C4" s="5">
        <f>IF(MONTH(DATE('Year summary'!$B$3,9,2))&lt;&gt;9,"",2)</f>
        <v/>
      </c>
      <c r="D4" s="5">
        <f>IF(MONTH(DATE('Year summary'!$B$3,9,3))&lt;&gt;9,"",3)</f>
        <v/>
      </c>
      <c r="E4" s="5">
        <f>IF(MONTH(DATE('Year summary'!$B$3,9,4))&lt;&gt;9,"",4)</f>
        <v/>
      </c>
      <c r="F4" s="5">
        <f>IF(MONTH(DATE('Year summary'!$B$3,9,5))&lt;&gt;9,"",5)</f>
        <v/>
      </c>
      <c r="G4" s="5">
        <f>IF(MONTH(DATE('Year summary'!$B$3,9,6))&lt;&gt;9,"",6)</f>
        <v/>
      </c>
      <c r="H4" s="5">
        <f>IF(MONTH(DATE('Year summary'!$B$3,9,7))&lt;&gt;9,"",7)</f>
        <v/>
      </c>
      <c r="I4" s="5">
        <f>IF(MONTH(DATE('Year summary'!$B$3,9,8))&lt;&gt;9,"",8)</f>
        <v/>
      </c>
      <c r="J4" s="5">
        <f>IF(MONTH(DATE('Year summary'!$B$3,9,9))&lt;&gt;9,"",9)</f>
        <v/>
      </c>
      <c r="K4" s="5">
        <f>IF(MONTH(DATE('Year summary'!$B$3,9,10))&lt;&gt;9,"",10)</f>
        <v/>
      </c>
      <c r="L4" s="5">
        <f>IF(MONTH(DATE('Year summary'!$B$3,9,11))&lt;&gt;9,"",11)</f>
        <v/>
      </c>
      <c r="M4" s="5">
        <f>IF(MONTH(DATE('Year summary'!$B$3,9,12))&lt;&gt;9,"",12)</f>
        <v/>
      </c>
      <c r="N4" s="5">
        <f>IF(MONTH(DATE('Year summary'!$B$3,9,13))&lt;&gt;9,"",13)</f>
        <v/>
      </c>
      <c r="O4" s="5">
        <f>IF(MONTH(DATE('Year summary'!$B$3,9,14))&lt;&gt;9,"",14)</f>
        <v/>
      </c>
      <c r="P4" s="5">
        <f>IF(MONTH(DATE('Year summary'!$B$3,9,15))&lt;&gt;9,"",15)</f>
        <v/>
      </c>
      <c r="Q4" s="5">
        <f>IF(MONTH(DATE('Year summary'!$B$3,9,16))&lt;&gt;9,"",16)</f>
        <v/>
      </c>
      <c r="R4" s="5">
        <f>IF(MONTH(DATE('Year summary'!$B$3,9,17))&lt;&gt;9,"",17)</f>
        <v/>
      </c>
      <c r="S4" s="5">
        <f>IF(MONTH(DATE('Year summary'!$B$3,9,18))&lt;&gt;9,"",18)</f>
        <v/>
      </c>
      <c r="T4" s="5">
        <f>IF(MONTH(DATE('Year summary'!$B$3,9,19))&lt;&gt;9,"",19)</f>
        <v/>
      </c>
      <c r="U4" s="5">
        <f>IF(MONTH(DATE('Year summary'!$B$3,9,20))&lt;&gt;9,"",20)</f>
        <v/>
      </c>
      <c r="V4" s="5">
        <f>IF(MONTH(DATE('Year summary'!$B$3,9,21))&lt;&gt;9,"",21)</f>
        <v/>
      </c>
      <c r="W4" s="5">
        <f>IF(MONTH(DATE('Year summary'!$B$3,9,22))&lt;&gt;9,"",22)</f>
        <v/>
      </c>
      <c r="X4" s="5">
        <f>IF(MONTH(DATE('Year summary'!$B$3,9,23))&lt;&gt;9,"",23)</f>
        <v/>
      </c>
      <c r="Y4" s="5">
        <f>IF(MONTH(DATE('Year summary'!$B$3,9,24))&lt;&gt;9,"",24)</f>
        <v/>
      </c>
      <c r="Z4" s="5">
        <f>IF(MONTH(DATE('Year summary'!$B$3,9,25))&lt;&gt;9,"",25)</f>
        <v/>
      </c>
      <c r="AA4" s="5">
        <f>IF(MONTH(DATE('Year summary'!$B$3,9,26))&lt;&gt;9,"",26)</f>
        <v/>
      </c>
      <c r="AB4" s="5">
        <f>IF(MONTH(DATE('Year summary'!$B$3,9,27))&lt;&gt;9,"",27)</f>
        <v/>
      </c>
      <c r="AC4" s="5">
        <f>IF(MONTH(DATE('Year summary'!$B$3,9,28))&lt;&gt;9,"",28)</f>
        <v/>
      </c>
      <c r="AD4" s="5">
        <f>IF(MONTH(DATE('Year summary'!$B$3,9,29))&lt;&gt;9,"",29)</f>
        <v/>
      </c>
      <c r="AE4" s="5">
        <f>IF(MONTH(DATE('Year summary'!$B$3,9,30))&lt;&gt;9,"",30)</f>
        <v/>
      </c>
      <c r="AF4" s="5">
        <f>IF(MONTH(DATE('Year summary'!$B$3,9,31))&lt;&gt;9,"",31)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summary'!$B$3,9,1))&lt;&gt;9,"",LEFT(TEXT(DATE('Year summary'!$B$3,9,1),"ddd"),2))</f>
        <v/>
      </c>
      <c r="C5" s="5">
        <f>IF(MONTH(DATE('Year summary'!$B$3,9,2))&lt;&gt;9,"",LEFT(TEXT(DATE('Year summary'!$B$3,9,2),"ddd"),2))</f>
        <v/>
      </c>
      <c r="D5" s="5">
        <f>IF(MONTH(DATE('Year summary'!$B$3,9,3))&lt;&gt;9,"",LEFT(TEXT(DATE('Year summary'!$B$3,9,3),"ddd"),2))</f>
        <v/>
      </c>
      <c r="E5" s="5">
        <f>IF(MONTH(DATE('Year summary'!$B$3,9,4))&lt;&gt;9,"",LEFT(TEXT(DATE('Year summary'!$B$3,9,4),"ddd"),2))</f>
        <v/>
      </c>
      <c r="F5" s="5">
        <f>IF(MONTH(DATE('Year summary'!$B$3,9,5))&lt;&gt;9,"",LEFT(TEXT(DATE('Year summary'!$B$3,9,5),"ddd"),2))</f>
        <v/>
      </c>
      <c r="G5" s="5">
        <f>IF(MONTH(DATE('Year summary'!$B$3,9,6))&lt;&gt;9,"",LEFT(TEXT(DATE('Year summary'!$B$3,9,6),"ddd"),2))</f>
        <v/>
      </c>
      <c r="H5" s="5">
        <f>IF(MONTH(DATE('Year summary'!$B$3,9,7))&lt;&gt;9,"",LEFT(TEXT(DATE('Year summary'!$B$3,9,7),"ddd"),2))</f>
        <v/>
      </c>
      <c r="I5" s="5">
        <f>IF(MONTH(DATE('Year summary'!$B$3,9,8))&lt;&gt;9,"",LEFT(TEXT(DATE('Year summary'!$B$3,9,8),"ddd"),2))</f>
        <v/>
      </c>
      <c r="J5" s="5">
        <f>IF(MONTH(DATE('Year summary'!$B$3,9,9))&lt;&gt;9,"",LEFT(TEXT(DATE('Year summary'!$B$3,9,9),"ddd"),2))</f>
        <v/>
      </c>
      <c r="K5" s="5">
        <f>IF(MONTH(DATE('Year summary'!$B$3,9,10))&lt;&gt;9,"",LEFT(TEXT(DATE('Year summary'!$B$3,9,10),"ddd"),2))</f>
        <v/>
      </c>
      <c r="L5" s="5">
        <f>IF(MONTH(DATE('Year summary'!$B$3,9,11))&lt;&gt;9,"",LEFT(TEXT(DATE('Year summary'!$B$3,9,11),"ddd"),2))</f>
        <v/>
      </c>
      <c r="M5" s="5">
        <f>IF(MONTH(DATE('Year summary'!$B$3,9,12))&lt;&gt;9,"",LEFT(TEXT(DATE('Year summary'!$B$3,9,12),"ddd"),2))</f>
        <v/>
      </c>
      <c r="N5" s="5">
        <f>IF(MONTH(DATE('Year summary'!$B$3,9,13))&lt;&gt;9,"",LEFT(TEXT(DATE('Year summary'!$B$3,9,13),"ddd"),2))</f>
        <v/>
      </c>
      <c r="O5" s="5">
        <f>IF(MONTH(DATE('Year summary'!$B$3,9,14))&lt;&gt;9,"",LEFT(TEXT(DATE('Year summary'!$B$3,9,14),"ddd"),2))</f>
        <v/>
      </c>
      <c r="P5" s="5">
        <f>IF(MONTH(DATE('Year summary'!$B$3,9,15))&lt;&gt;9,"",LEFT(TEXT(DATE('Year summary'!$B$3,9,15),"ddd"),2))</f>
        <v/>
      </c>
      <c r="Q5" s="5">
        <f>IF(MONTH(DATE('Year summary'!$B$3,9,16))&lt;&gt;9,"",LEFT(TEXT(DATE('Year summary'!$B$3,9,16),"ddd"),2))</f>
        <v/>
      </c>
      <c r="R5" s="5">
        <f>IF(MONTH(DATE('Year summary'!$B$3,9,17))&lt;&gt;9,"",LEFT(TEXT(DATE('Year summary'!$B$3,9,17),"ddd"),2))</f>
        <v/>
      </c>
      <c r="S5" s="5">
        <f>IF(MONTH(DATE('Year summary'!$B$3,9,18))&lt;&gt;9,"",LEFT(TEXT(DATE('Year summary'!$B$3,9,18),"ddd"),2))</f>
        <v/>
      </c>
      <c r="T5" s="5">
        <f>IF(MONTH(DATE('Year summary'!$B$3,9,19))&lt;&gt;9,"",LEFT(TEXT(DATE('Year summary'!$B$3,9,19),"ddd"),2))</f>
        <v/>
      </c>
      <c r="U5" s="5">
        <f>IF(MONTH(DATE('Year summary'!$B$3,9,20))&lt;&gt;9,"",LEFT(TEXT(DATE('Year summary'!$B$3,9,20),"ddd"),2))</f>
        <v/>
      </c>
      <c r="V5" s="5">
        <f>IF(MONTH(DATE('Year summary'!$B$3,9,21))&lt;&gt;9,"",LEFT(TEXT(DATE('Year summary'!$B$3,9,21),"ddd"),2))</f>
        <v/>
      </c>
      <c r="W5" s="5">
        <f>IF(MONTH(DATE('Year summary'!$B$3,9,22))&lt;&gt;9,"",LEFT(TEXT(DATE('Year summary'!$B$3,9,22),"ddd"),2))</f>
        <v/>
      </c>
      <c r="X5" s="5">
        <f>IF(MONTH(DATE('Year summary'!$B$3,9,23))&lt;&gt;9,"",LEFT(TEXT(DATE('Year summary'!$B$3,9,23),"ddd"),2))</f>
        <v/>
      </c>
      <c r="Y5" s="5">
        <f>IF(MONTH(DATE('Year summary'!$B$3,9,24))&lt;&gt;9,"",LEFT(TEXT(DATE('Year summary'!$B$3,9,24),"ddd"),2))</f>
        <v/>
      </c>
      <c r="Z5" s="5">
        <f>IF(MONTH(DATE('Year summary'!$B$3,9,25))&lt;&gt;9,"",LEFT(TEXT(DATE('Year summary'!$B$3,9,25),"ddd"),2))</f>
        <v/>
      </c>
      <c r="AA5" s="5">
        <f>IF(MONTH(DATE('Year summary'!$B$3,9,26))&lt;&gt;9,"",LEFT(TEXT(DATE('Year summary'!$B$3,9,26),"ddd"),2))</f>
        <v/>
      </c>
      <c r="AB5" s="5">
        <f>IF(MONTH(DATE('Year summary'!$B$3,9,27))&lt;&gt;9,"",LEFT(TEXT(DATE('Year summary'!$B$3,9,27),"ddd"),2))</f>
        <v/>
      </c>
      <c r="AC5" s="5">
        <f>IF(MONTH(DATE('Year summary'!$B$3,9,28))&lt;&gt;9,"",LEFT(TEXT(DATE('Year summary'!$B$3,9,28),"ddd"),2))</f>
        <v/>
      </c>
      <c r="AD5" s="5">
        <f>IF(MONTH(DATE('Year summary'!$B$3,9,29))&lt;&gt;9,"",LEFT(TEXT(DATE('Year summary'!$B$3,9,29),"ddd"),2))</f>
        <v/>
      </c>
      <c r="AE5" s="5">
        <f>IF(MONTH(DATE('Year summary'!$B$3,9,30))&lt;&gt;9,"",LEFT(TEXT(DATE('Year summary'!$B$3,9,30),"ddd"),2))</f>
        <v/>
      </c>
      <c r="AF5" s="5">
        <f>IF(MONTH(DATE('Year summary'!$B$3,9,31))&lt;&gt;9,"",LEFT(TEXT(DATE('Year summary'!$B$3,9,31),"ddd"),2))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summary'!$B$3,9,1))&gt;0,"H",""))</f>
        <v/>
      </c>
      <c r="C6" s="14">
        <f>IF(C$4="","",IF(COUNTIF('Year summary'!$A$30:$A$59,DATE('Year summary'!$B$3,9,2))&gt;0,"H",""))</f>
        <v/>
      </c>
      <c r="D6" s="14">
        <f>IF(D$4="","",IF(COUNTIF('Year summary'!$A$30:$A$59,DATE('Year summary'!$B$3,9,3))&gt;0,"H",""))</f>
        <v/>
      </c>
      <c r="E6" s="14">
        <f>IF(E$4="","",IF(COUNTIF('Year summary'!$A$30:$A$59,DATE('Year summary'!$B$3,9,4))&gt;0,"H",""))</f>
        <v/>
      </c>
      <c r="F6" s="14">
        <f>IF(F$4="","",IF(COUNTIF('Year summary'!$A$30:$A$59,DATE('Year summary'!$B$3,9,5))&gt;0,"H",""))</f>
        <v/>
      </c>
      <c r="G6" s="14">
        <f>IF(G$4="","",IF(COUNTIF('Year summary'!$A$30:$A$59,DATE('Year summary'!$B$3,9,6))&gt;0,"H",""))</f>
        <v/>
      </c>
      <c r="H6" s="14">
        <f>IF(H$4="","",IF(COUNTIF('Year summary'!$A$30:$A$59,DATE('Year summary'!$B$3,9,7))&gt;0,"H",""))</f>
        <v/>
      </c>
      <c r="I6" s="14">
        <f>IF(I$4="","",IF(COUNTIF('Year summary'!$A$30:$A$59,DATE('Year summary'!$B$3,9,8))&gt;0,"H",""))</f>
        <v/>
      </c>
      <c r="J6" s="14">
        <f>IF(J$4="","",IF(COUNTIF('Year summary'!$A$30:$A$59,DATE('Year summary'!$B$3,9,9))&gt;0,"H",""))</f>
        <v/>
      </c>
      <c r="K6" s="14">
        <f>IF(K$4="","",IF(COUNTIF('Year summary'!$A$30:$A$59,DATE('Year summary'!$B$3,9,10))&gt;0,"H",""))</f>
        <v/>
      </c>
      <c r="L6" s="14">
        <f>IF(L$4="","",IF(COUNTIF('Year summary'!$A$30:$A$59,DATE('Year summary'!$B$3,9,11))&gt;0,"H",""))</f>
        <v/>
      </c>
      <c r="M6" s="14">
        <f>IF(M$4="","",IF(COUNTIF('Year summary'!$A$30:$A$59,DATE('Year summary'!$B$3,9,12))&gt;0,"H",""))</f>
        <v/>
      </c>
      <c r="N6" s="14">
        <f>IF(N$4="","",IF(COUNTIF('Year summary'!$A$30:$A$59,DATE('Year summary'!$B$3,9,13))&gt;0,"H",""))</f>
        <v/>
      </c>
      <c r="O6" s="14">
        <f>IF(O$4="","",IF(COUNTIF('Year summary'!$A$30:$A$59,DATE('Year summary'!$B$3,9,14))&gt;0,"H",""))</f>
        <v/>
      </c>
      <c r="P6" s="14">
        <f>IF(P$4="","",IF(COUNTIF('Year summary'!$A$30:$A$59,DATE('Year summary'!$B$3,9,15))&gt;0,"H",""))</f>
        <v/>
      </c>
      <c r="Q6" s="14">
        <f>IF(Q$4="","",IF(COUNTIF('Year summary'!$A$30:$A$59,DATE('Year summary'!$B$3,9,16))&gt;0,"H",""))</f>
        <v/>
      </c>
      <c r="R6" s="14">
        <f>IF(R$4="","",IF(COUNTIF('Year summary'!$A$30:$A$59,DATE('Year summary'!$B$3,9,17))&gt;0,"H",""))</f>
        <v/>
      </c>
      <c r="S6" s="14">
        <f>IF(S$4="","",IF(COUNTIF('Year summary'!$A$30:$A$59,DATE('Year summary'!$B$3,9,18))&gt;0,"H",""))</f>
        <v/>
      </c>
      <c r="T6" s="14">
        <f>IF(T$4="","",IF(COUNTIF('Year summary'!$A$30:$A$59,DATE('Year summary'!$B$3,9,19))&gt;0,"H",""))</f>
        <v/>
      </c>
      <c r="U6" s="14">
        <f>IF(U$4="","",IF(COUNTIF('Year summary'!$A$30:$A$59,DATE('Year summary'!$B$3,9,20))&gt;0,"H",""))</f>
        <v/>
      </c>
      <c r="V6" s="14">
        <f>IF(V$4="","",IF(COUNTIF('Year summary'!$A$30:$A$59,DATE('Year summary'!$B$3,9,21))&gt;0,"H",""))</f>
        <v/>
      </c>
      <c r="W6" s="14">
        <f>IF(W$4="","",IF(COUNTIF('Year summary'!$A$30:$A$59,DATE('Year summary'!$B$3,9,22))&gt;0,"H",""))</f>
        <v/>
      </c>
      <c r="X6" s="14">
        <f>IF(X$4="","",IF(COUNTIF('Year summary'!$A$30:$A$59,DATE('Year summary'!$B$3,9,23))&gt;0,"H",""))</f>
        <v/>
      </c>
      <c r="Y6" s="14">
        <f>IF(Y$4="","",IF(COUNTIF('Year summary'!$A$30:$A$59,DATE('Year summary'!$B$3,9,24))&gt;0,"H",""))</f>
        <v/>
      </c>
      <c r="Z6" s="14">
        <f>IF(Z$4="","",IF(COUNTIF('Year summary'!$A$30:$A$59,DATE('Year summary'!$B$3,9,25))&gt;0,"H",""))</f>
        <v/>
      </c>
      <c r="AA6" s="14">
        <f>IF(AA$4="","",IF(COUNTIF('Year summary'!$A$30:$A$59,DATE('Year summary'!$B$3,9,26))&gt;0,"H",""))</f>
        <v/>
      </c>
      <c r="AB6" s="14">
        <f>IF(AB$4="","",IF(COUNTIF('Year summary'!$A$30:$A$59,DATE('Year summary'!$B$3,9,27))&gt;0,"H",""))</f>
        <v/>
      </c>
      <c r="AC6" s="14">
        <f>IF(AC$4="","",IF(COUNTIF('Year summary'!$A$30:$A$59,DATE('Year summary'!$B$3,9,28))&gt;0,"H",""))</f>
        <v/>
      </c>
      <c r="AD6" s="14">
        <f>IF(AD$4="","",IF(COUNTIF('Year summary'!$A$30:$A$59,DATE('Year summary'!$B$3,9,29))&gt;0,"H",""))</f>
        <v/>
      </c>
      <c r="AE6" s="14">
        <f>IF(AE$4="","",IF(COUNTIF('Year summary'!$A$30:$A$59,DATE('Year summary'!$B$3,9,30))&gt;0,"H",""))</f>
        <v/>
      </c>
      <c r="AF6" s="14">
        <f>IF(AF$4="","",IF(COUNTIF('Year summary'!$A$30:$A$59,DATE('Year summary'!$B$3,9,31))&gt;0,"H",""))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October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summary'!$B$3,10,1))&lt;&gt;10,"",1)</f>
        <v/>
      </c>
      <c r="C4" s="5">
        <f>IF(MONTH(DATE('Year summary'!$B$3,10,2))&lt;&gt;10,"",2)</f>
        <v/>
      </c>
      <c r="D4" s="5">
        <f>IF(MONTH(DATE('Year summary'!$B$3,10,3))&lt;&gt;10,"",3)</f>
        <v/>
      </c>
      <c r="E4" s="5">
        <f>IF(MONTH(DATE('Year summary'!$B$3,10,4))&lt;&gt;10,"",4)</f>
        <v/>
      </c>
      <c r="F4" s="5">
        <f>IF(MONTH(DATE('Year summary'!$B$3,10,5))&lt;&gt;10,"",5)</f>
        <v/>
      </c>
      <c r="G4" s="5">
        <f>IF(MONTH(DATE('Year summary'!$B$3,10,6))&lt;&gt;10,"",6)</f>
        <v/>
      </c>
      <c r="H4" s="5">
        <f>IF(MONTH(DATE('Year summary'!$B$3,10,7))&lt;&gt;10,"",7)</f>
        <v/>
      </c>
      <c r="I4" s="5">
        <f>IF(MONTH(DATE('Year summary'!$B$3,10,8))&lt;&gt;10,"",8)</f>
        <v/>
      </c>
      <c r="J4" s="5">
        <f>IF(MONTH(DATE('Year summary'!$B$3,10,9))&lt;&gt;10,"",9)</f>
        <v/>
      </c>
      <c r="K4" s="5">
        <f>IF(MONTH(DATE('Year summary'!$B$3,10,10))&lt;&gt;10,"",10)</f>
        <v/>
      </c>
      <c r="L4" s="5">
        <f>IF(MONTH(DATE('Year summary'!$B$3,10,11))&lt;&gt;10,"",11)</f>
        <v/>
      </c>
      <c r="M4" s="5">
        <f>IF(MONTH(DATE('Year summary'!$B$3,10,12))&lt;&gt;10,"",12)</f>
        <v/>
      </c>
      <c r="N4" s="5">
        <f>IF(MONTH(DATE('Year summary'!$B$3,10,13))&lt;&gt;10,"",13)</f>
        <v/>
      </c>
      <c r="O4" s="5">
        <f>IF(MONTH(DATE('Year summary'!$B$3,10,14))&lt;&gt;10,"",14)</f>
        <v/>
      </c>
      <c r="P4" s="5">
        <f>IF(MONTH(DATE('Year summary'!$B$3,10,15))&lt;&gt;10,"",15)</f>
        <v/>
      </c>
      <c r="Q4" s="5">
        <f>IF(MONTH(DATE('Year summary'!$B$3,10,16))&lt;&gt;10,"",16)</f>
        <v/>
      </c>
      <c r="R4" s="5">
        <f>IF(MONTH(DATE('Year summary'!$B$3,10,17))&lt;&gt;10,"",17)</f>
        <v/>
      </c>
      <c r="S4" s="5">
        <f>IF(MONTH(DATE('Year summary'!$B$3,10,18))&lt;&gt;10,"",18)</f>
        <v/>
      </c>
      <c r="T4" s="5">
        <f>IF(MONTH(DATE('Year summary'!$B$3,10,19))&lt;&gt;10,"",19)</f>
        <v/>
      </c>
      <c r="U4" s="5">
        <f>IF(MONTH(DATE('Year summary'!$B$3,10,20))&lt;&gt;10,"",20)</f>
        <v/>
      </c>
      <c r="V4" s="5">
        <f>IF(MONTH(DATE('Year summary'!$B$3,10,21))&lt;&gt;10,"",21)</f>
        <v/>
      </c>
      <c r="W4" s="5">
        <f>IF(MONTH(DATE('Year summary'!$B$3,10,22))&lt;&gt;10,"",22)</f>
        <v/>
      </c>
      <c r="X4" s="5">
        <f>IF(MONTH(DATE('Year summary'!$B$3,10,23))&lt;&gt;10,"",23)</f>
        <v/>
      </c>
      <c r="Y4" s="5">
        <f>IF(MONTH(DATE('Year summary'!$B$3,10,24))&lt;&gt;10,"",24)</f>
        <v/>
      </c>
      <c r="Z4" s="5">
        <f>IF(MONTH(DATE('Year summary'!$B$3,10,25))&lt;&gt;10,"",25)</f>
        <v/>
      </c>
      <c r="AA4" s="5">
        <f>IF(MONTH(DATE('Year summary'!$B$3,10,26))&lt;&gt;10,"",26)</f>
        <v/>
      </c>
      <c r="AB4" s="5">
        <f>IF(MONTH(DATE('Year summary'!$B$3,10,27))&lt;&gt;10,"",27)</f>
        <v/>
      </c>
      <c r="AC4" s="5">
        <f>IF(MONTH(DATE('Year summary'!$B$3,10,28))&lt;&gt;10,"",28)</f>
        <v/>
      </c>
      <c r="AD4" s="5">
        <f>IF(MONTH(DATE('Year summary'!$B$3,10,29))&lt;&gt;10,"",29)</f>
        <v/>
      </c>
      <c r="AE4" s="5">
        <f>IF(MONTH(DATE('Year summary'!$B$3,10,30))&lt;&gt;10,"",30)</f>
        <v/>
      </c>
      <c r="AF4" s="5">
        <f>IF(MONTH(DATE('Year summary'!$B$3,10,31))&lt;&gt;10,"",31)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summary'!$B$3,10,1))&lt;&gt;10,"",LEFT(TEXT(DATE('Year summary'!$B$3,10,1),"ddd"),2))</f>
        <v/>
      </c>
      <c r="C5" s="5">
        <f>IF(MONTH(DATE('Year summary'!$B$3,10,2))&lt;&gt;10,"",LEFT(TEXT(DATE('Year summary'!$B$3,10,2),"ddd"),2))</f>
        <v/>
      </c>
      <c r="D5" s="5">
        <f>IF(MONTH(DATE('Year summary'!$B$3,10,3))&lt;&gt;10,"",LEFT(TEXT(DATE('Year summary'!$B$3,10,3),"ddd"),2))</f>
        <v/>
      </c>
      <c r="E5" s="5">
        <f>IF(MONTH(DATE('Year summary'!$B$3,10,4))&lt;&gt;10,"",LEFT(TEXT(DATE('Year summary'!$B$3,10,4),"ddd"),2))</f>
        <v/>
      </c>
      <c r="F5" s="5">
        <f>IF(MONTH(DATE('Year summary'!$B$3,10,5))&lt;&gt;10,"",LEFT(TEXT(DATE('Year summary'!$B$3,10,5),"ddd"),2))</f>
        <v/>
      </c>
      <c r="G5" s="5">
        <f>IF(MONTH(DATE('Year summary'!$B$3,10,6))&lt;&gt;10,"",LEFT(TEXT(DATE('Year summary'!$B$3,10,6),"ddd"),2))</f>
        <v/>
      </c>
      <c r="H5" s="5">
        <f>IF(MONTH(DATE('Year summary'!$B$3,10,7))&lt;&gt;10,"",LEFT(TEXT(DATE('Year summary'!$B$3,10,7),"ddd"),2))</f>
        <v/>
      </c>
      <c r="I5" s="5">
        <f>IF(MONTH(DATE('Year summary'!$B$3,10,8))&lt;&gt;10,"",LEFT(TEXT(DATE('Year summary'!$B$3,10,8),"ddd"),2))</f>
        <v/>
      </c>
      <c r="J5" s="5">
        <f>IF(MONTH(DATE('Year summary'!$B$3,10,9))&lt;&gt;10,"",LEFT(TEXT(DATE('Year summary'!$B$3,10,9),"ddd"),2))</f>
        <v/>
      </c>
      <c r="K5" s="5">
        <f>IF(MONTH(DATE('Year summary'!$B$3,10,10))&lt;&gt;10,"",LEFT(TEXT(DATE('Year summary'!$B$3,10,10),"ddd"),2))</f>
        <v/>
      </c>
      <c r="L5" s="5">
        <f>IF(MONTH(DATE('Year summary'!$B$3,10,11))&lt;&gt;10,"",LEFT(TEXT(DATE('Year summary'!$B$3,10,11),"ddd"),2))</f>
        <v/>
      </c>
      <c r="M5" s="5">
        <f>IF(MONTH(DATE('Year summary'!$B$3,10,12))&lt;&gt;10,"",LEFT(TEXT(DATE('Year summary'!$B$3,10,12),"ddd"),2))</f>
        <v/>
      </c>
      <c r="N5" s="5">
        <f>IF(MONTH(DATE('Year summary'!$B$3,10,13))&lt;&gt;10,"",LEFT(TEXT(DATE('Year summary'!$B$3,10,13),"ddd"),2))</f>
        <v/>
      </c>
      <c r="O5" s="5">
        <f>IF(MONTH(DATE('Year summary'!$B$3,10,14))&lt;&gt;10,"",LEFT(TEXT(DATE('Year summary'!$B$3,10,14),"ddd"),2))</f>
        <v/>
      </c>
      <c r="P5" s="5">
        <f>IF(MONTH(DATE('Year summary'!$B$3,10,15))&lt;&gt;10,"",LEFT(TEXT(DATE('Year summary'!$B$3,10,15),"ddd"),2))</f>
        <v/>
      </c>
      <c r="Q5" s="5">
        <f>IF(MONTH(DATE('Year summary'!$B$3,10,16))&lt;&gt;10,"",LEFT(TEXT(DATE('Year summary'!$B$3,10,16),"ddd"),2))</f>
        <v/>
      </c>
      <c r="R5" s="5">
        <f>IF(MONTH(DATE('Year summary'!$B$3,10,17))&lt;&gt;10,"",LEFT(TEXT(DATE('Year summary'!$B$3,10,17),"ddd"),2))</f>
        <v/>
      </c>
      <c r="S5" s="5">
        <f>IF(MONTH(DATE('Year summary'!$B$3,10,18))&lt;&gt;10,"",LEFT(TEXT(DATE('Year summary'!$B$3,10,18),"ddd"),2))</f>
        <v/>
      </c>
      <c r="T5" s="5">
        <f>IF(MONTH(DATE('Year summary'!$B$3,10,19))&lt;&gt;10,"",LEFT(TEXT(DATE('Year summary'!$B$3,10,19),"ddd"),2))</f>
        <v/>
      </c>
      <c r="U5" s="5">
        <f>IF(MONTH(DATE('Year summary'!$B$3,10,20))&lt;&gt;10,"",LEFT(TEXT(DATE('Year summary'!$B$3,10,20),"ddd"),2))</f>
        <v/>
      </c>
      <c r="V5" s="5">
        <f>IF(MONTH(DATE('Year summary'!$B$3,10,21))&lt;&gt;10,"",LEFT(TEXT(DATE('Year summary'!$B$3,10,21),"ddd"),2))</f>
        <v/>
      </c>
      <c r="W5" s="5">
        <f>IF(MONTH(DATE('Year summary'!$B$3,10,22))&lt;&gt;10,"",LEFT(TEXT(DATE('Year summary'!$B$3,10,22),"ddd"),2))</f>
        <v/>
      </c>
      <c r="X5" s="5">
        <f>IF(MONTH(DATE('Year summary'!$B$3,10,23))&lt;&gt;10,"",LEFT(TEXT(DATE('Year summary'!$B$3,10,23),"ddd"),2))</f>
        <v/>
      </c>
      <c r="Y5" s="5">
        <f>IF(MONTH(DATE('Year summary'!$B$3,10,24))&lt;&gt;10,"",LEFT(TEXT(DATE('Year summary'!$B$3,10,24),"ddd"),2))</f>
        <v/>
      </c>
      <c r="Z5" s="5">
        <f>IF(MONTH(DATE('Year summary'!$B$3,10,25))&lt;&gt;10,"",LEFT(TEXT(DATE('Year summary'!$B$3,10,25),"ddd"),2))</f>
        <v/>
      </c>
      <c r="AA5" s="5">
        <f>IF(MONTH(DATE('Year summary'!$B$3,10,26))&lt;&gt;10,"",LEFT(TEXT(DATE('Year summary'!$B$3,10,26),"ddd"),2))</f>
        <v/>
      </c>
      <c r="AB5" s="5">
        <f>IF(MONTH(DATE('Year summary'!$B$3,10,27))&lt;&gt;10,"",LEFT(TEXT(DATE('Year summary'!$B$3,10,27),"ddd"),2))</f>
        <v/>
      </c>
      <c r="AC5" s="5">
        <f>IF(MONTH(DATE('Year summary'!$B$3,10,28))&lt;&gt;10,"",LEFT(TEXT(DATE('Year summary'!$B$3,10,28),"ddd"),2))</f>
        <v/>
      </c>
      <c r="AD5" s="5">
        <f>IF(MONTH(DATE('Year summary'!$B$3,10,29))&lt;&gt;10,"",LEFT(TEXT(DATE('Year summary'!$B$3,10,29),"ddd"),2))</f>
        <v/>
      </c>
      <c r="AE5" s="5">
        <f>IF(MONTH(DATE('Year summary'!$B$3,10,30))&lt;&gt;10,"",LEFT(TEXT(DATE('Year summary'!$B$3,10,30),"ddd"),2))</f>
        <v/>
      </c>
      <c r="AF5" s="5">
        <f>IF(MONTH(DATE('Year summary'!$B$3,10,31))&lt;&gt;10,"",LEFT(TEXT(DATE('Year summary'!$B$3,10,31),"ddd"),2))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summary'!$B$3,10,1))&gt;0,"H",""))</f>
        <v/>
      </c>
      <c r="C6" s="14">
        <f>IF(C$4="","",IF(COUNTIF('Year summary'!$A$30:$A$59,DATE('Year summary'!$B$3,10,2))&gt;0,"H",""))</f>
        <v/>
      </c>
      <c r="D6" s="14">
        <f>IF(D$4="","",IF(COUNTIF('Year summary'!$A$30:$A$59,DATE('Year summary'!$B$3,10,3))&gt;0,"H",""))</f>
        <v/>
      </c>
      <c r="E6" s="14">
        <f>IF(E$4="","",IF(COUNTIF('Year summary'!$A$30:$A$59,DATE('Year summary'!$B$3,10,4))&gt;0,"H",""))</f>
        <v/>
      </c>
      <c r="F6" s="14">
        <f>IF(F$4="","",IF(COUNTIF('Year summary'!$A$30:$A$59,DATE('Year summary'!$B$3,10,5))&gt;0,"H",""))</f>
        <v/>
      </c>
      <c r="G6" s="14">
        <f>IF(G$4="","",IF(COUNTIF('Year summary'!$A$30:$A$59,DATE('Year summary'!$B$3,10,6))&gt;0,"H",""))</f>
        <v/>
      </c>
      <c r="H6" s="14">
        <f>IF(H$4="","",IF(COUNTIF('Year summary'!$A$30:$A$59,DATE('Year summary'!$B$3,10,7))&gt;0,"H",""))</f>
        <v/>
      </c>
      <c r="I6" s="14">
        <f>IF(I$4="","",IF(COUNTIF('Year summary'!$A$30:$A$59,DATE('Year summary'!$B$3,10,8))&gt;0,"H",""))</f>
        <v/>
      </c>
      <c r="J6" s="14">
        <f>IF(J$4="","",IF(COUNTIF('Year summary'!$A$30:$A$59,DATE('Year summary'!$B$3,10,9))&gt;0,"H",""))</f>
        <v/>
      </c>
      <c r="K6" s="14">
        <f>IF(K$4="","",IF(COUNTIF('Year summary'!$A$30:$A$59,DATE('Year summary'!$B$3,10,10))&gt;0,"H",""))</f>
        <v/>
      </c>
      <c r="L6" s="14">
        <f>IF(L$4="","",IF(COUNTIF('Year summary'!$A$30:$A$59,DATE('Year summary'!$B$3,10,11))&gt;0,"H",""))</f>
        <v/>
      </c>
      <c r="M6" s="14">
        <f>IF(M$4="","",IF(COUNTIF('Year summary'!$A$30:$A$59,DATE('Year summary'!$B$3,10,12))&gt;0,"H",""))</f>
        <v/>
      </c>
      <c r="N6" s="14">
        <f>IF(N$4="","",IF(COUNTIF('Year summary'!$A$30:$A$59,DATE('Year summary'!$B$3,10,13))&gt;0,"H",""))</f>
        <v/>
      </c>
      <c r="O6" s="14">
        <f>IF(O$4="","",IF(COUNTIF('Year summary'!$A$30:$A$59,DATE('Year summary'!$B$3,10,14))&gt;0,"H",""))</f>
        <v/>
      </c>
      <c r="P6" s="14">
        <f>IF(P$4="","",IF(COUNTIF('Year summary'!$A$30:$A$59,DATE('Year summary'!$B$3,10,15))&gt;0,"H",""))</f>
        <v/>
      </c>
      <c r="Q6" s="14">
        <f>IF(Q$4="","",IF(COUNTIF('Year summary'!$A$30:$A$59,DATE('Year summary'!$B$3,10,16))&gt;0,"H",""))</f>
        <v/>
      </c>
      <c r="R6" s="14">
        <f>IF(R$4="","",IF(COUNTIF('Year summary'!$A$30:$A$59,DATE('Year summary'!$B$3,10,17))&gt;0,"H",""))</f>
        <v/>
      </c>
      <c r="S6" s="14">
        <f>IF(S$4="","",IF(COUNTIF('Year summary'!$A$30:$A$59,DATE('Year summary'!$B$3,10,18))&gt;0,"H",""))</f>
        <v/>
      </c>
      <c r="T6" s="14">
        <f>IF(T$4="","",IF(COUNTIF('Year summary'!$A$30:$A$59,DATE('Year summary'!$B$3,10,19))&gt;0,"H",""))</f>
        <v/>
      </c>
      <c r="U6" s="14">
        <f>IF(U$4="","",IF(COUNTIF('Year summary'!$A$30:$A$59,DATE('Year summary'!$B$3,10,20))&gt;0,"H",""))</f>
        <v/>
      </c>
      <c r="V6" s="14">
        <f>IF(V$4="","",IF(COUNTIF('Year summary'!$A$30:$A$59,DATE('Year summary'!$B$3,10,21))&gt;0,"H",""))</f>
        <v/>
      </c>
      <c r="W6" s="14">
        <f>IF(W$4="","",IF(COUNTIF('Year summary'!$A$30:$A$59,DATE('Year summary'!$B$3,10,22))&gt;0,"H",""))</f>
        <v/>
      </c>
      <c r="X6" s="14">
        <f>IF(X$4="","",IF(COUNTIF('Year summary'!$A$30:$A$59,DATE('Year summary'!$B$3,10,23))&gt;0,"H",""))</f>
        <v/>
      </c>
      <c r="Y6" s="14">
        <f>IF(Y$4="","",IF(COUNTIF('Year summary'!$A$30:$A$59,DATE('Year summary'!$B$3,10,24))&gt;0,"H",""))</f>
        <v/>
      </c>
      <c r="Z6" s="14">
        <f>IF(Z$4="","",IF(COUNTIF('Year summary'!$A$30:$A$59,DATE('Year summary'!$B$3,10,25))&gt;0,"H",""))</f>
        <v/>
      </c>
      <c r="AA6" s="14">
        <f>IF(AA$4="","",IF(COUNTIF('Year summary'!$A$30:$A$59,DATE('Year summary'!$B$3,10,26))&gt;0,"H",""))</f>
        <v/>
      </c>
      <c r="AB6" s="14">
        <f>IF(AB$4="","",IF(COUNTIF('Year summary'!$A$30:$A$59,DATE('Year summary'!$B$3,10,27))&gt;0,"H",""))</f>
        <v/>
      </c>
      <c r="AC6" s="14">
        <f>IF(AC$4="","",IF(COUNTIF('Year summary'!$A$30:$A$59,DATE('Year summary'!$B$3,10,28))&gt;0,"H",""))</f>
        <v/>
      </c>
      <c r="AD6" s="14">
        <f>IF(AD$4="","",IF(COUNTIF('Year summary'!$A$30:$A$59,DATE('Year summary'!$B$3,10,29))&gt;0,"H",""))</f>
        <v/>
      </c>
      <c r="AE6" s="14">
        <f>IF(AE$4="","",IF(COUNTIF('Year summary'!$A$30:$A$59,DATE('Year summary'!$B$3,10,30))&gt;0,"H",""))</f>
        <v/>
      </c>
      <c r="AF6" s="14">
        <f>IF(AF$4="","",IF(COUNTIF('Year summary'!$A$30:$A$59,DATE('Year summary'!$B$3,10,31))&gt;0,"H",""))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November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summary'!$B$3,11,1))&lt;&gt;11,"",1)</f>
        <v/>
      </c>
      <c r="C4" s="5">
        <f>IF(MONTH(DATE('Year summary'!$B$3,11,2))&lt;&gt;11,"",2)</f>
        <v/>
      </c>
      <c r="D4" s="5">
        <f>IF(MONTH(DATE('Year summary'!$B$3,11,3))&lt;&gt;11,"",3)</f>
        <v/>
      </c>
      <c r="E4" s="5">
        <f>IF(MONTH(DATE('Year summary'!$B$3,11,4))&lt;&gt;11,"",4)</f>
        <v/>
      </c>
      <c r="F4" s="5">
        <f>IF(MONTH(DATE('Year summary'!$B$3,11,5))&lt;&gt;11,"",5)</f>
        <v/>
      </c>
      <c r="G4" s="5">
        <f>IF(MONTH(DATE('Year summary'!$B$3,11,6))&lt;&gt;11,"",6)</f>
        <v/>
      </c>
      <c r="H4" s="5">
        <f>IF(MONTH(DATE('Year summary'!$B$3,11,7))&lt;&gt;11,"",7)</f>
        <v/>
      </c>
      <c r="I4" s="5">
        <f>IF(MONTH(DATE('Year summary'!$B$3,11,8))&lt;&gt;11,"",8)</f>
        <v/>
      </c>
      <c r="J4" s="5">
        <f>IF(MONTH(DATE('Year summary'!$B$3,11,9))&lt;&gt;11,"",9)</f>
        <v/>
      </c>
      <c r="K4" s="5">
        <f>IF(MONTH(DATE('Year summary'!$B$3,11,10))&lt;&gt;11,"",10)</f>
        <v/>
      </c>
      <c r="L4" s="5">
        <f>IF(MONTH(DATE('Year summary'!$B$3,11,11))&lt;&gt;11,"",11)</f>
        <v/>
      </c>
      <c r="M4" s="5">
        <f>IF(MONTH(DATE('Year summary'!$B$3,11,12))&lt;&gt;11,"",12)</f>
        <v/>
      </c>
      <c r="N4" s="5">
        <f>IF(MONTH(DATE('Year summary'!$B$3,11,13))&lt;&gt;11,"",13)</f>
        <v/>
      </c>
      <c r="O4" s="5">
        <f>IF(MONTH(DATE('Year summary'!$B$3,11,14))&lt;&gt;11,"",14)</f>
        <v/>
      </c>
      <c r="P4" s="5">
        <f>IF(MONTH(DATE('Year summary'!$B$3,11,15))&lt;&gt;11,"",15)</f>
        <v/>
      </c>
      <c r="Q4" s="5">
        <f>IF(MONTH(DATE('Year summary'!$B$3,11,16))&lt;&gt;11,"",16)</f>
        <v/>
      </c>
      <c r="R4" s="5">
        <f>IF(MONTH(DATE('Year summary'!$B$3,11,17))&lt;&gt;11,"",17)</f>
        <v/>
      </c>
      <c r="S4" s="5">
        <f>IF(MONTH(DATE('Year summary'!$B$3,11,18))&lt;&gt;11,"",18)</f>
        <v/>
      </c>
      <c r="T4" s="5">
        <f>IF(MONTH(DATE('Year summary'!$B$3,11,19))&lt;&gt;11,"",19)</f>
        <v/>
      </c>
      <c r="U4" s="5">
        <f>IF(MONTH(DATE('Year summary'!$B$3,11,20))&lt;&gt;11,"",20)</f>
        <v/>
      </c>
      <c r="V4" s="5">
        <f>IF(MONTH(DATE('Year summary'!$B$3,11,21))&lt;&gt;11,"",21)</f>
        <v/>
      </c>
      <c r="W4" s="5">
        <f>IF(MONTH(DATE('Year summary'!$B$3,11,22))&lt;&gt;11,"",22)</f>
        <v/>
      </c>
      <c r="X4" s="5">
        <f>IF(MONTH(DATE('Year summary'!$B$3,11,23))&lt;&gt;11,"",23)</f>
        <v/>
      </c>
      <c r="Y4" s="5">
        <f>IF(MONTH(DATE('Year summary'!$B$3,11,24))&lt;&gt;11,"",24)</f>
        <v/>
      </c>
      <c r="Z4" s="5">
        <f>IF(MONTH(DATE('Year summary'!$B$3,11,25))&lt;&gt;11,"",25)</f>
        <v/>
      </c>
      <c r="AA4" s="5">
        <f>IF(MONTH(DATE('Year summary'!$B$3,11,26))&lt;&gt;11,"",26)</f>
        <v/>
      </c>
      <c r="AB4" s="5">
        <f>IF(MONTH(DATE('Year summary'!$B$3,11,27))&lt;&gt;11,"",27)</f>
        <v/>
      </c>
      <c r="AC4" s="5">
        <f>IF(MONTH(DATE('Year summary'!$B$3,11,28))&lt;&gt;11,"",28)</f>
        <v/>
      </c>
      <c r="AD4" s="5">
        <f>IF(MONTH(DATE('Year summary'!$B$3,11,29))&lt;&gt;11,"",29)</f>
        <v/>
      </c>
      <c r="AE4" s="5">
        <f>IF(MONTH(DATE('Year summary'!$B$3,11,30))&lt;&gt;11,"",30)</f>
        <v/>
      </c>
      <c r="AF4" s="5">
        <f>IF(MONTH(DATE('Year summary'!$B$3,11,31))&lt;&gt;11,"",31)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summary'!$B$3,11,1))&lt;&gt;11,"",LEFT(TEXT(DATE('Year summary'!$B$3,11,1),"ddd"),2))</f>
        <v/>
      </c>
      <c r="C5" s="5">
        <f>IF(MONTH(DATE('Year summary'!$B$3,11,2))&lt;&gt;11,"",LEFT(TEXT(DATE('Year summary'!$B$3,11,2),"ddd"),2))</f>
        <v/>
      </c>
      <c r="D5" s="5">
        <f>IF(MONTH(DATE('Year summary'!$B$3,11,3))&lt;&gt;11,"",LEFT(TEXT(DATE('Year summary'!$B$3,11,3),"ddd"),2))</f>
        <v/>
      </c>
      <c r="E5" s="5">
        <f>IF(MONTH(DATE('Year summary'!$B$3,11,4))&lt;&gt;11,"",LEFT(TEXT(DATE('Year summary'!$B$3,11,4),"ddd"),2))</f>
        <v/>
      </c>
      <c r="F5" s="5">
        <f>IF(MONTH(DATE('Year summary'!$B$3,11,5))&lt;&gt;11,"",LEFT(TEXT(DATE('Year summary'!$B$3,11,5),"ddd"),2))</f>
        <v/>
      </c>
      <c r="G5" s="5">
        <f>IF(MONTH(DATE('Year summary'!$B$3,11,6))&lt;&gt;11,"",LEFT(TEXT(DATE('Year summary'!$B$3,11,6),"ddd"),2))</f>
        <v/>
      </c>
      <c r="H5" s="5">
        <f>IF(MONTH(DATE('Year summary'!$B$3,11,7))&lt;&gt;11,"",LEFT(TEXT(DATE('Year summary'!$B$3,11,7),"ddd"),2))</f>
        <v/>
      </c>
      <c r="I5" s="5">
        <f>IF(MONTH(DATE('Year summary'!$B$3,11,8))&lt;&gt;11,"",LEFT(TEXT(DATE('Year summary'!$B$3,11,8),"ddd"),2))</f>
        <v/>
      </c>
      <c r="J5" s="5">
        <f>IF(MONTH(DATE('Year summary'!$B$3,11,9))&lt;&gt;11,"",LEFT(TEXT(DATE('Year summary'!$B$3,11,9),"ddd"),2))</f>
        <v/>
      </c>
      <c r="K5" s="5">
        <f>IF(MONTH(DATE('Year summary'!$B$3,11,10))&lt;&gt;11,"",LEFT(TEXT(DATE('Year summary'!$B$3,11,10),"ddd"),2))</f>
        <v/>
      </c>
      <c r="L5" s="5">
        <f>IF(MONTH(DATE('Year summary'!$B$3,11,11))&lt;&gt;11,"",LEFT(TEXT(DATE('Year summary'!$B$3,11,11),"ddd"),2))</f>
        <v/>
      </c>
      <c r="M5" s="5">
        <f>IF(MONTH(DATE('Year summary'!$B$3,11,12))&lt;&gt;11,"",LEFT(TEXT(DATE('Year summary'!$B$3,11,12),"ddd"),2))</f>
        <v/>
      </c>
      <c r="N5" s="5">
        <f>IF(MONTH(DATE('Year summary'!$B$3,11,13))&lt;&gt;11,"",LEFT(TEXT(DATE('Year summary'!$B$3,11,13),"ddd"),2))</f>
        <v/>
      </c>
      <c r="O5" s="5">
        <f>IF(MONTH(DATE('Year summary'!$B$3,11,14))&lt;&gt;11,"",LEFT(TEXT(DATE('Year summary'!$B$3,11,14),"ddd"),2))</f>
        <v/>
      </c>
      <c r="P5" s="5">
        <f>IF(MONTH(DATE('Year summary'!$B$3,11,15))&lt;&gt;11,"",LEFT(TEXT(DATE('Year summary'!$B$3,11,15),"ddd"),2))</f>
        <v/>
      </c>
      <c r="Q5" s="5">
        <f>IF(MONTH(DATE('Year summary'!$B$3,11,16))&lt;&gt;11,"",LEFT(TEXT(DATE('Year summary'!$B$3,11,16),"ddd"),2))</f>
        <v/>
      </c>
      <c r="R5" s="5">
        <f>IF(MONTH(DATE('Year summary'!$B$3,11,17))&lt;&gt;11,"",LEFT(TEXT(DATE('Year summary'!$B$3,11,17),"ddd"),2))</f>
        <v/>
      </c>
      <c r="S5" s="5">
        <f>IF(MONTH(DATE('Year summary'!$B$3,11,18))&lt;&gt;11,"",LEFT(TEXT(DATE('Year summary'!$B$3,11,18),"ddd"),2))</f>
        <v/>
      </c>
      <c r="T5" s="5">
        <f>IF(MONTH(DATE('Year summary'!$B$3,11,19))&lt;&gt;11,"",LEFT(TEXT(DATE('Year summary'!$B$3,11,19),"ddd"),2))</f>
        <v/>
      </c>
      <c r="U5" s="5">
        <f>IF(MONTH(DATE('Year summary'!$B$3,11,20))&lt;&gt;11,"",LEFT(TEXT(DATE('Year summary'!$B$3,11,20),"ddd"),2))</f>
        <v/>
      </c>
      <c r="V5" s="5">
        <f>IF(MONTH(DATE('Year summary'!$B$3,11,21))&lt;&gt;11,"",LEFT(TEXT(DATE('Year summary'!$B$3,11,21),"ddd"),2))</f>
        <v/>
      </c>
      <c r="W5" s="5">
        <f>IF(MONTH(DATE('Year summary'!$B$3,11,22))&lt;&gt;11,"",LEFT(TEXT(DATE('Year summary'!$B$3,11,22),"ddd"),2))</f>
        <v/>
      </c>
      <c r="X5" s="5">
        <f>IF(MONTH(DATE('Year summary'!$B$3,11,23))&lt;&gt;11,"",LEFT(TEXT(DATE('Year summary'!$B$3,11,23),"ddd"),2))</f>
        <v/>
      </c>
      <c r="Y5" s="5">
        <f>IF(MONTH(DATE('Year summary'!$B$3,11,24))&lt;&gt;11,"",LEFT(TEXT(DATE('Year summary'!$B$3,11,24),"ddd"),2))</f>
        <v/>
      </c>
      <c r="Z5" s="5">
        <f>IF(MONTH(DATE('Year summary'!$B$3,11,25))&lt;&gt;11,"",LEFT(TEXT(DATE('Year summary'!$B$3,11,25),"ddd"),2))</f>
        <v/>
      </c>
      <c r="AA5" s="5">
        <f>IF(MONTH(DATE('Year summary'!$B$3,11,26))&lt;&gt;11,"",LEFT(TEXT(DATE('Year summary'!$B$3,11,26),"ddd"),2))</f>
        <v/>
      </c>
      <c r="AB5" s="5">
        <f>IF(MONTH(DATE('Year summary'!$B$3,11,27))&lt;&gt;11,"",LEFT(TEXT(DATE('Year summary'!$B$3,11,27),"ddd"),2))</f>
        <v/>
      </c>
      <c r="AC5" s="5">
        <f>IF(MONTH(DATE('Year summary'!$B$3,11,28))&lt;&gt;11,"",LEFT(TEXT(DATE('Year summary'!$B$3,11,28),"ddd"),2))</f>
        <v/>
      </c>
      <c r="AD5" s="5">
        <f>IF(MONTH(DATE('Year summary'!$B$3,11,29))&lt;&gt;11,"",LEFT(TEXT(DATE('Year summary'!$B$3,11,29),"ddd"),2))</f>
        <v/>
      </c>
      <c r="AE5" s="5">
        <f>IF(MONTH(DATE('Year summary'!$B$3,11,30))&lt;&gt;11,"",LEFT(TEXT(DATE('Year summary'!$B$3,11,30),"ddd"),2))</f>
        <v/>
      </c>
      <c r="AF5" s="5">
        <f>IF(MONTH(DATE('Year summary'!$B$3,11,31))&lt;&gt;11,"",LEFT(TEXT(DATE('Year summary'!$B$3,11,31),"ddd"),2))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summary'!$B$3,11,1))&gt;0,"H",""))</f>
        <v/>
      </c>
      <c r="C6" s="14">
        <f>IF(C$4="","",IF(COUNTIF('Year summary'!$A$30:$A$59,DATE('Year summary'!$B$3,11,2))&gt;0,"H",""))</f>
        <v/>
      </c>
      <c r="D6" s="14">
        <f>IF(D$4="","",IF(COUNTIF('Year summary'!$A$30:$A$59,DATE('Year summary'!$B$3,11,3))&gt;0,"H",""))</f>
        <v/>
      </c>
      <c r="E6" s="14">
        <f>IF(E$4="","",IF(COUNTIF('Year summary'!$A$30:$A$59,DATE('Year summary'!$B$3,11,4))&gt;0,"H",""))</f>
        <v/>
      </c>
      <c r="F6" s="14">
        <f>IF(F$4="","",IF(COUNTIF('Year summary'!$A$30:$A$59,DATE('Year summary'!$B$3,11,5))&gt;0,"H",""))</f>
        <v/>
      </c>
      <c r="G6" s="14">
        <f>IF(G$4="","",IF(COUNTIF('Year summary'!$A$30:$A$59,DATE('Year summary'!$B$3,11,6))&gt;0,"H",""))</f>
        <v/>
      </c>
      <c r="H6" s="14">
        <f>IF(H$4="","",IF(COUNTIF('Year summary'!$A$30:$A$59,DATE('Year summary'!$B$3,11,7))&gt;0,"H",""))</f>
        <v/>
      </c>
      <c r="I6" s="14">
        <f>IF(I$4="","",IF(COUNTIF('Year summary'!$A$30:$A$59,DATE('Year summary'!$B$3,11,8))&gt;0,"H",""))</f>
        <v/>
      </c>
      <c r="J6" s="14">
        <f>IF(J$4="","",IF(COUNTIF('Year summary'!$A$30:$A$59,DATE('Year summary'!$B$3,11,9))&gt;0,"H",""))</f>
        <v/>
      </c>
      <c r="K6" s="14">
        <f>IF(K$4="","",IF(COUNTIF('Year summary'!$A$30:$A$59,DATE('Year summary'!$B$3,11,10))&gt;0,"H",""))</f>
        <v/>
      </c>
      <c r="L6" s="14">
        <f>IF(L$4="","",IF(COUNTIF('Year summary'!$A$30:$A$59,DATE('Year summary'!$B$3,11,11))&gt;0,"H",""))</f>
        <v/>
      </c>
      <c r="M6" s="14">
        <f>IF(M$4="","",IF(COUNTIF('Year summary'!$A$30:$A$59,DATE('Year summary'!$B$3,11,12))&gt;0,"H",""))</f>
        <v/>
      </c>
      <c r="N6" s="14">
        <f>IF(N$4="","",IF(COUNTIF('Year summary'!$A$30:$A$59,DATE('Year summary'!$B$3,11,13))&gt;0,"H",""))</f>
        <v/>
      </c>
      <c r="O6" s="14">
        <f>IF(O$4="","",IF(COUNTIF('Year summary'!$A$30:$A$59,DATE('Year summary'!$B$3,11,14))&gt;0,"H",""))</f>
        <v/>
      </c>
      <c r="P6" s="14">
        <f>IF(P$4="","",IF(COUNTIF('Year summary'!$A$30:$A$59,DATE('Year summary'!$B$3,11,15))&gt;0,"H",""))</f>
        <v/>
      </c>
      <c r="Q6" s="14">
        <f>IF(Q$4="","",IF(COUNTIF('Year summary'!$A$30:$A$59,DATE('Year summary'!$B$3,11,16))&gt;0,"H",""))</f>
        <v/>
      </c>
      <c r="R6" s="14">
        <f>IF(R$4="","",IF(COUNTIF('Year summary'!$A$30:$A$59,DATE('Year summary'!$B$3,11,17))&gt;0,"H",""))</f>
        <v/>
      </c>
      <c r="S6" s="14">
        <f>IF(S$4="","",IF(COUNTIF('Year summary'!$A$30:$A$59,DATE('Year summary'!$B$3,11,18))&gt;0,"H",""))</f>
        <v/>
      </c>
      <c r="T6" s="14">
        <f>IF(T$4="","",IF(COUNTIF('Year summary'!$A$30:$A$59,DATE('Year summary'!$B$3,11,19))&gt;0,"H",""))</f>
        <v/>
      </c>
      <c r="U6" s="14">
        <f>IF(U$4="","",IF(COUNTIF('Year summary'!$A$30:$A$59,DATE('Year summary'!$B$3,11,20))&gt;0,"H",""))</f>
        <v/>
      </c>
      <c r="V6" s="14">
        <f>IF(V$4="","",IF(COUNTIF('Year summary'!$A$30:$A$59,DATE('Year summary'!$B$3,11,21))&gt;0,"H",""))</f>
        <v/>
      </c>
      <c r="W6" s="14">
        <f>IF(W$4="","",IF(COUNTIF('Year summary'!$A$30:$A$59,DATE('Year summary'!$B$3,11,22))&gt;0,"H",""))</f>
        <v/>
      </c>
      <c r="X6" s="14">
        <f>IF(X$4="","",IF(COUNTIF('Year summary'!$A$30:$A$59,DATE('Year summary'!$B$3,11,23))&gt;0,"H",""))</f>
        <v/>
      </c>
      <c r="Y6" s="14">
        <f>IF(Y$4="","",IF(COUNTIF('Year summary'!$A$30:$A$59,DATE('Year summary'!$B$3,11,24))&gt;0,"H",""))</f>
        <v/>
      </c>
      <c r="Z6" s="14">
        <f>IF(Z$4="","",IF(COUNTIF('Year summary'!$A$30:$A$59,DATE('Year summary'!$B$3,11,25))&gt;0,"H",""))</f>
        <v/>
      </c>
      <c r="AA6" s="14">
        <f>IF(AA$4="","",IF(COUNTIF('Year summary'!$A$30:$A$59,DATE('Year summary'!$B$3,11,26))&gt;0,"H",""))</f>
        <v/>
      </c>
      <c r="AB6" s="14">
        <f>IF(AB$4="","",IF(COUNTIF('Year summary'!$A$30:$A$59,DATE('Year summary'!$B$3,11,27))&gt;0,"H",""))</f>
        <v/>
      </c>
      <c r="AC6" s="14">
        <f>IF(AC$4="","",IF(COUNTIF('Year summary'!$A$30:$A$59,DATE('Year summary'!$B$3,11,28))&gt;0,"H",""))</f>
        <v/>
      </c>
      <c r="AD6" s="14">
        <f>IF(AD$4="","",IF(COUNTIF('Year summary'!$A$30:$A$59,DATE('Year summary'!$B$3,11,29))&gt;0,"H",""))</f>
        <v/>
      </c>
      <c r="AE6" s="14">
        <f>IF(AE$4="","",IF(COUNTIF('Year summary'!$A$30:$A$59,DATE('Year summary'!$B$3,11,30))&gt;0,"H",""))</f>
        <v/>
      </c>
      <c r="AF6" s="14">
        <f>IF(AF$4="","",IF(COUNTIF('Year summary'!$A$30:$A$59,DATE('Year summary'!$B$3,11,31))&gt;0,"H",""))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K31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4" customWidth="1" min="33" max="33"/>
    <col width="4" customWidth="1" min="34" max="34"/>
    <col width="4" customWidth="1" min="35" max="35"/>
    <col width="4" customWidth="1" min="36" max="36"/>
    <col width="4" customWidth="1" min="37" max="37"/>
  </cols>
  <sheetData>
    <row r="1">
      <c r="A1" s="1" t="inlineStr">
        <is>
          <t>Team PTO calendar: December</t>
        </is>
      </c>
    </row>
    <row r="2">
      <c r="A2" s="12">
        <f>'Year summary'!B3</f>
        <v/>
      </c>
    </row>
    <row r="4">
      <c r="A4" s="5" t="inlineStr">
        <is>
          <t>Employee</t>
        </is>
      </c>
      <c r="B4" s="5">
        <f>IF(MONTH(DATE('Year summary'!$B$3,12,1))&lt;&gt;12,"",1)</f>
        <v/>
      </c>
      <c r="C4" s="5">
        <f>IF(MONTH(DATE('Year summary'!$B$3,12,2))&lt;&gt;12,"",2)</f>
        <v/>
      </c>
      <c r="D4" s="5">
        <f>IF(MONTH(DATE('Year summary'!$B$3,12,3))&lt;&gt;12,"",3)</f>
        <v/>
      </c>
      <c r="E4" s="5">
        <f>IF(MONTH(DATE('Year summary'!$B$3,12,4))&lt;&gt;12,"",4)</f>
        <v/>
      </c>
      <c r="F4" s="5">
        <f>IF(MONTH(DATE('Year summary'!$B$3,12,5))&lt;&gt;12,"",5)</f>
        <v/>
      </c>
      <c r="G4" s="5">
        <f>IF(MONTH(DATE('Year summary'!$B$3,12,6))&lt;&gt;12,"",6)</f>
        <v/>
      </c>
      <c r="H4" s="5">
        <f>IF(MONTH(DATE('Year summary'!$B$3,12,7))&lt;&gt;12,"",7)</f>
        <v/>
      </c>
      <c r="I4" s="5">
        <f>IF(MONTH(DATE('Year summary'!$B$3,12,8))&lt;&gt;12,"",8)</f>
        <v/>
      </c>
      <c r="J4" s="5">
        <f>IF(MONTH(DATE('Year summary'!$B$3,12,9))&lt;&gt;12,"",9)</f>
        <v/>
      </c>
      <c r="K4" s="5">
        <f>IF(MONTH(DATE('Year summary'!$B$3,12,10))&lt;&gt;12,"",10)</f>
        <v/>
      </c>
      <c r="L4" s="5">
        <f>IF(MONTH(DATE('Year summary'!$B$3,12,11))&lt;&gt;12,"",11)</f>
        <v/>
      </c>
      <c r="M4" s="5">
        <f>IF(MONTH(DATE('Year summary'!$B$3,12,12))&lt;&gt;12,"",12)</f>
        <v/>
      </c>
      <c r="N4" s="5">
        <f>IF(MONTH(DATE('Year summary'!$B$3,12,13))&lt;&gt;12,"",13)</f>
        <v/>
      </c>
      <c r="O4" s="5">
        <f>IF(MONTH(DATE('Year summary'!$B$3,12,14))&lt;&gt;12,"",14)</f>
        <v/>
      </c>
      <c r="P4" s="5">
        <f>IF(MONTH(DATE('Year summary'!$B$3,12,15))&lt;&gt;12,"",15)</f>
        <v/>
      </c>
      <c r="Q4" s="5">
        <f>IF(MONTH(DATE('Year summary'!$B$3,12,16))&lt;&gt;12,"",16)</f>
        <v/>
      </c>
      <c r="R4" s="5">
        <f>IF(MONTH(DATE('Year summary'!$B$3,12,17))&lt;&gt;12,"",17)</f>
        <v/>
      </c>
      <c r="S4" s="5">
        <f>IF(MONTH(DATE('Year summary'!$B$3,12,18))&lt;&gt;12,"",18)</f>
        <v/>
      </c>
      <c r="T4" s="5">
        <f>IF(MONTH(DATE('Year summary'!$B$3,12,19))&lt;&gt;12,"",19)</f>
        <v/>
      </c>
      <c r="U4" s="5">
        <f>IF(MONTH(DATE('Year summary'!$B$3,12,20))&lt;&gt;12,"",20)</f>
        <v/>
      </c>
      <c r="V4" s="5">
        <f>IF(MONTH(DATE('Year summary'!$B$3,12,21))&lt;&gt;12,"",21)</f>
        <v/>
      </c>
      <c r="W4" s="5">
        <f>IF(MONTH(DATE('Year summary'!$B$3,12,22))&lt;&gt;12,"",22)</f>
        <v/>
      </c>
      <c r="X4" s="5">
        <f>IF(MONTH(DATE('Year summary'!$B$3,12,23))&lt;&gt;12,"",23)</f>
        <v/>
      </c>
      <c r="Y4" s="5">
        <f>IF(MONTH(DATE('Year summary'!$B$3,12,24))&lt;&gt;12,"",24)</f>
        <v/>
      </c>
      <c r="Z4" s="5">
        <f>IF(MONTH(DATE('Year summary'!$B$3,12,25))&lt;&gt;12,"",25)</f>
        <v/>
      </c>
      <c r="AA4" s="5">
        <f>IF(MONTH(DATE('Year summary'!$B$3,12,26))&lt;&gt;12,"",26)</f>
        <v/>
      </c>
      <c r="AB4" s="5">
        <f>IF(MONTH(DATE('Year summary'!$B$3,12,27))&lt;&gt;12,"",27)</f>
        <v/>
      </c>
      <c r="AC4" s="5">
        <f>IF(MONTH(DATE('Year summary'!$B$3,12,28))&lt;&gt;12,"",28)</f>
        <v/>
      </c>
      <c r="AD4" s="5">
        <f>IF(MONTH(DATE('Year summary'!$B$3,12,29))&lt;&gt;12,"",29)</f>
        <v/>
      </c>
      <c r="AE4" s="5">
        <f>IF(MONTH(DATE('Year summary'!$B$3,12,30))&lt;&gt;12,"",30)</f>
        <v/>
      </c>
      <c r="AF4" s="5">
        <f>IF(MONTH(DATE('Year summary'!$B$3,12,31))&lt;&gt;12,"",31)</f>
        <v/>
      </c>
      <c r="AG4" s="5" t="inlineStr">
        <is>
          <t>V</t>
        </is>
      </c>
      <c r="AH4" s="5" t="inlineStr">
        <is>
          <t>S</t>
        </is>
      </c>
      <c r="AI4" s="5" t="inlineStr">
        <is>
          <t>P</t>
        </is>
      </c>
      <c r="AJ4" s="5" t="inlineStr">
        <is>
          <t>F</t>
        </is>
      </c>
      <c r="AK4" s="5" t="inlineStr">
        <is>
          <t>U</t>
        </is>
      </c>
    </row>
    <row r="5">
      <c r="A5" s="5" t="inlineStr"/>
      <c r="B5" s="5">
        <f>IF(MONTH(DATE('Year summary'!$B$3,12,1))&lt;&gt;12,"",LEFT(TEXT(DATE('Year summary'!$B$3,12,1),"ddd"),2))</f>
        <v/>
      </c>
      <c r="C5" s="5">
        <f>IF(MONTH(DATE('Year summary'!$B$3,12,2))&lt;&gt;12,"",LEFT(TEXT(DATE('Year summary'!$B$3,12,2),"ddd"),2))</f>
        <v/>
      </c>
      <c r="D5" s="5">
        <f>IF(MONTH(DATE('Year summary'!$B$3,12,3))&lt;&gt;12,"",LEFT(TEXT(DATE('Year summary'!$B$3,12,3),"ddd"),2))</f>
        <v/>
      </c>
      <c r="E5" s="5">
        <f>IF(MONTH(DATE('Year summary'!$B$3,12,4))&lt;&gt;12,"",LEFT(TEXT(DATE('Year summary'!$B$3,12,4),"ddd"),2))</f>
        <v/>
      </c>
      <c r="F5" s="5">
        <f>IF(MONTH(DATE('Year summary'!$B$3,12,5))&lt;&gt;12,"",LEFT(TEXT(DATE('Year summary'!$B$3,12,5),"ddd"),2))</f>
        <v/>
      </c>
      <c r="G5" s="5">
        <f>IF(MONTH(DATE('Year summary'!$B$3,12,6))&lt;&gt;12,"",LEFT(TEXT(DATE('Year summary'!$B$3,12,6),"ddd"),2))</f>
        <v/>
      </c>
      <c r="H5" s="5">
        <f>IF(MONTH(DATE('Year summary'!$B$3,12,7))&lt;&gt;12,"",LEFT(TEXT(DATE('Year summary'!$B$3,12,7),"ddd"),2))</f>
        <v/>
      </c>
      <c r="I5" s="5">
        <f>IF(MONTH(DATE('Year summary'!$B$3,12,8))&lt;&gt;12,"",LEFT(TEXT(DATE('Year summary'!$B$3,12,8),"ddd"),2))</f>
        <v/>
      </c>
      <c r="J5" s="5">
        <f>IF(MONTH(DATE('Year summary'!$B$3,12,9))&lt;&gt;12,"",LEFT(TEXT(DATE('Year summary'!$B$3,12,9),"ddd"),2))</f>
        <v/>
      </c>
      <c r="K5" s="5">
        <f>IF(MONTH(DATE('Year summary'!$B$3,12,10))&lt;&gt;12,"",LEFT(TEXT(DATE('Year summary'!$B$3,12,10),"ddd"),2))</f>
        <v/>
      </c>
      <c r="L5" s="5">
        <f>IF(MONTH(DATE('Year summary'!$B$3,12,11))&lt;&gt;12,"",LEFT(TEXT(DATE('Year summary'!$B$3,12,11),"ddd"),2))</f>
        <v/>
      </c>
      <c r="M5" s="5">
        <f>IF(MONTH(DATE('Year summary'!$B$3,12,12))&lt;&gt;12,"",LEFT(TEXT(DATE('Year summary'!$B$3,12,12),"ddd"),2))</f>
        <v/>
      </c>
      <c r="N5" s="5">
        <f>IF(MONTH(DATE('Year summary'!$B$3,12,13))&lt;&gt;12,"",LEFT(TEXT(DATE('Year summary'!$B$3,12,13),"ddd"),2))</f>
        <v/>
      </c>
      <c r="O5" s="5">
        <f>IF(MONTH(DATE('Year summary'!$B$3,12,14))&lt;&gt;12,"",LEFT(TEXT(DATE('Year summary'!$B$3,12,14),"ddd"),2))</f>
        <v/>
      </c>
      <c r="P5" s="5">
        <f>IF(MONTH(DATE('Year summary'!$B$3,12,15))&lt;&gt;12,"",LEFT(TEXT(DATE('Year summary'!$B$3,12,15),"ddd"),2))</f>
        <v/>
      </c>
      <c r="Q5" s="5">
        <f>IF(MONTH(DATE('Year summary'!$B$3,12,16))&lt;&gt;12,"",LEFT(TEXT(DATE('Year summary'!$B$3,12,16),"ddd"),2))</f>
        <v/>
      </c>
      <c r="R5" s="5">
        <f>IF(MONTH(DATE('Year summary'!$B$3,12,17))&lt;&gt;12,"",LEFT(TEXT(DATE('Year summary'!$B$3,12,17),"ddd"),2))</f>
        <v/>
      </c>
      <c r="S5" s="5">
        <f>IF(MONTH(DATE('Year summary'!$B$3,12,18))&lt;&gt;12,"",LEFT(TEXT(DATE('Year summary'!$B$3,12,18),"ddd"),2))</f>
        <v/>
      </c>
      <c r="T5" s="5">
        <f>IF(MONTH(DATE('Year summary'!$B$3,12,19))&lt;&gt;12,"",LEFT(TEXT(DATE('Year summary'!$B$3,12,19),"ddd"),2))</f>
        <v/>
      </c>
      <c r="U5" s="5">
        <f>IF(MONTH(DATE('Year summary'!$B$3,12,20))&lt;&gt;12,"",LEFT(TEXT(DATE('Year summary'!$B$3,12,20),"ddd"),2))</f>
        <v/>
      </c>
      <c r="V5" s="5">
        <f>IF(MONTH(DATE('Year summary'!$B$3,12,21))&lt;&gt;12,"",LEFT(TEXT(DATE('Year summary'!$B$3,12,21),"ddd"),2))</f>
        <v/>
      </c>
      <c r="W5" s="5">
        <f>IF(MONTH(DATE('Year summary'!$B$3,12,22))&lt;&gt;12,"",LEFT(TEXT(DATE('Year summary'!$B$3,12,22),"ddd"),2))</f>
        <v/>
      </c>
      <c r="X5" s="5">
        <f>IF(MONTH(DATE('Year summary'!$B$3,12,23))&lt;&gt;12,"",LEFT(TEXT(DATE('Year summary'!$B$3,12,23),"ddd"),2))</f>
        <v/>
      </c>
      <c r="Y5" s="5">
        <f>IF(MONTH(DATE('Year summary'!$B$3,12,24))&lt;&gt;12,"",LEFT(TEXT(DATE('Year summary'!$B$3,12,24),"ddd"),2))</f>
        <v/>
      </c>
      <c r="Z5" s="5">
        <f>IF(MONTH(DATE('Year summary'!$B$3,12,25))&lt;&gt;12,"",LEFT(TEXT(DATE('Year summary'!$B$3,12,25),"ddd"),2))</f>
        <v/>
      </c>
      <c r="AA5" s="5">
        <f>IF(MONTH(DATE('Year summary'!$B$3,12,26))&lt;&gt;12,"",LEFT(TEXT(DATE('Year summary'!$B$3,12,26),"ddd"),2))</f>
        <v/>
      </c>
      <c r="AB5" s="5">
        <f>IF(MONTH(DATE('Year summary'!$B$3,12,27))&lt;&gt;12,"",LEFT(TEXT(DATE('Year summary'!$B$3,12,27),"ddd"),2))</f>
        <v/>
      </c>
      <c r="AC5" s="5">
        <f>IF(MONTH(DATE('Year summary'!$B$3,12,28))&lt;&gt;12,"",LEFT(TEXT(DATE('Year summary'!$B$3,12,28),"ddd"),2))</f>
        <v/>
      </c>
      <c r="AD5" s="5">
        <f>IF(MONTH(DATE('Year summary'!$B$3,12,29))&lt;&gt;12,"",LEFT(TEXT(DATE('Year summary'!$B$3,12,29),"ddd"),2))</f>
        <v/>
      </c>
      <c r="AE5" s="5">
        <f>IF(MONTH(DATE('Year summary'!$B$3,12,30))&lt;&gt;12,"",LEFT(TEXT(DATE('Year summary'!$B$3,12,30),"ddd"),2))</f>
        <v/>
      </c>
      <c r="AF5" s="5">
        <f>IF(MONTH(DATE('Year summary'!$B$3,12,31))&lt;&gt;12,"",LEFT(TEXT(DATE('Year summary'!$B$3,12,31),"ddd"),2))</f>
        <v/>
      </c>
      <c r="AG5" s="5" t="inlineStr"/>
      <c r="AH5" s="5" t="inlineStr"/>
      <c r="AI5" s="5" t="inlineStr"/>
      <c r="AJ5" s="5" t="inlineStr"/>
      <c r="AK5" s="5" t="inlineStr"/>
    </row>
    <row r="6">
      <c r="A6" s="13" t="inlineStr">
        <is>
          <t>Holiday</t>
        </is>
      </c>
      <c r="B6" s="14">
        <f>IF(B$4="","",IF(COUNTIF('Year summary'!$A$30:$A$59,DATE('Year summary'!$B$3,12,1))&gt;0,"H",""))</f>
        <v/>
      </c>
      <c r="C6" s="14">
        <f>IF(C$4="","",IF(COUNTIF('Year summary'!$A$30:$A$59,DATE('Year summary'!$B$3,12,2))&gt;0,"H",""))</f>
        <v/>
      </c>
      <c r="D6" s="14">
        <f>IF(D$4="","",IF(COUNTIF('Year summary'!$A$30:$A$59,DATE('Year summary'!$B$3,12,3))&gt;0,"H",""))</f>
        <v/>
      </c>
      <c r="E6" s="14">
        <f>IF(E$4="","",IF(COUNTIF('Year summary'!$A$30:$A$59,DATE('Year summary'!$B$3,12,4))&gt;0,"H",""))</f>
        <v/>
      </c>
      <c r="F6" s="14">
        <f>IF(F$4="","",IF(COUNTIF('Year summary'!$A$30:$A$59,DATE('Year summary'!$B$3,12,5))&gt;0,"H",""))</f>
        <v/>
      </c>
      <c r="G6" s="14">
        <f>IF(G$4="","",IF(COUNTIF('Year summary'!$A$30:$A$59,DATE('Year summary'!$B$3,12,6))&gt;0,"H",""))</f>
        <v/>
      </c>
      <c r="H6" s="14">
        <f>IF(H$4="","",IF(COUNTIF('Year summary'!$A$30:$A$59,DATE('Year summary'!$B$3,12,7))&gt;0,"H",""))</f>
        <v/>
      </c>
      <c r="I6" s="14">
        <f>IF(I$4="","",IF(COUNTIF('Year summary'!$A$30:$A$59,DATE('Year summary'!$B$3,12,8))&gt;0,"H",""))</f>
        <v/>
      </c>
      <c r="J6" s="14">
        <f>IF(J$4="","",IF(COUNTIF('Year summary'!$A$30:$A$59,DATE('Year summary'!$B$3,12,9))&gt;0,"H",""))</f>
        <v/>
      </c>
      <c r="K6" s="14">
        <f>IF(K$4="","",IF(COUNTIF('Year summary'!$A$30:$A$59,DATE('Year summary'!$B$3,12,10))&gt;0,"H",""))</f>
        <v/>
      </c>
      <c r="L6" s="14">
        <f>IF(L$4="","",IF(COUNTIF('Year summary'!$A$30:$A$59,DATE('Year summary'!$B$3,12,11))&gt;0,"H",""))</f>
        <v/>
      </c>
      <c r="M6" s="14">
        <f>IF(M$4="","",IF(COUNTIF('Year summary'!$A$30:$A$59,DATE('Year summary'!$B$3,12,12))&gt;0,"H",""))</f>
        <v/>
      </c>
      <c r="N6" s="14">
        <f>IF(N$4="","",IF(COUNTIF('Year summary'!$A$30:$A$59,DATE('Year summary'!$B$3,12,13))&gt;0,"H",""))</f>
        <v/>
      </c>
      <c r="O6" s="14">
        <f>IF(O$4="","",IF(COUNTIF('Year summary'!$A$30:$A$59,DATE('Year summary'!$B$3,12,14))&gt;0,"H",""))</f>
        <v/>
      </c>
      <c r="P6" s="14">
        <f>IF(P$4="","",IF(COUNTIF('Year summary'!$A$30:$A$59,DATE('Year summary'!$B$3,12,15))&gt;0,"H",""))</f>
        <v/>
      </c>
      <c r="Q6" s="14">
        <f>IF(Q$4="","",IF(COUNTIF('Year summary'!$A$30:$A$59,DATE('Year summary'!$B$3,12,16))&gt;0,"H",""))</f>
        <v/>
      </c>
      <c r="R6" s="14">
        <f>IF(R$4="","",IF(COUNTIF('Year summary'!$A$30:$A$59,DATE('Year summary'!$B$3,12,17))&gt;0,"H",""))</f>
        <v/>
      </c>
      <c r="S6" s="14">
        <f>IF(S$4="","",IF(COUNTIF('Year summary'!$A$30:$A$59,DATE('Year summary'!$B$3,12,18))&gt;0,"H",""))</f>
        <v/>
      </c>
      <c r="T6" s="14">
        <f>IF(T$4="","",IF(COUNTIF('Year summary'!$A$30:$A$59,DATE('Year summary'!$B$3,12,19))&gt;0,"H",""))</f>
        <v/>
      </c>
      <c r="U6" s="14">
        <f>IF(U$4="","",IF(COUNTIF('Year summary'!$A$30:$A$59,DATE('Year summary'!$B$3,12,20))&gt;0,"H",""))</f>
        <v/>
      </c>
      <c r="V6" s="14">
        <f>IF(V$4="","",IF(COUNTIF('Year summary'!$A$30:$A$59,DATE('Year summary'!$B$3,12,21))&gt;0,"H",""))</f>
        <v/>
      </c>
      <c r="W6" s="14">
        <f>IF(W$4="","",IF(COUNTIF('Year summary'!$A$30:$A$59,DATE('Year summary'!$B$3,12,22))&gt;0,"H",""))</f>
        <v/>
      </c>
      <c r="X6" s="14">
        <f>IF(X$4="","",IF(COUNTIF('Year summary'!$A$30:$A$59,DATE('Year summary'!$B$3,12,23))&gt;0,"H",""))</f>
        <v/>
      </c>
      <c r="Y6" s="14">
        <f>IF(Y$4="","",IF(COUNTIF('Year summary'!$A$30:$A$59,DATE('Year summary'!$B$3,12,24))&gt;0,"H",""))</f>
        <v/>
      </c>
      <c r="Z6" s="14">
        <f>IF(Z$4="","",IF(COUNTIF('Year summary'!$A$30:$A$59,DATE('Year summary'!$B$3,12,25))&gt;0,"H",""))</f>
        <v/>
      </c>
      <c r="AA6" s="14">
        <f>IF(AA$4="","",IF(COUNTIF('Year summary'!$A$30:$A$59,DATE('Year summary'!$B$3,12,26))&gt;0,"H",""))</f>
        <v/>
      </c>
      <c r="AB6" s="14">
        <f>IF(AB$4="","",IF(COUNTIF('Year summary'!$A$30:$A$59,DATE('Year summary'!$B$3,12,27))&gt;0,"H",""))</f>
        <v/>
      </c>
      <c r="AC6" s="14">
        <f>IF(AC$4="","",IF(COUNTIF('Year summary'!$A$30:$A$59,DATE('Year summary'!$B$3,12,28))&gt;0,"H",""))</f>
        <v/>
      </c>
      <c r="AD6" s="14">
        <f>IF(AD$4="","",IF(COUNTIF('Year summary'!$A$30:$A$59,DATE('Year summary'!$B$3,12,29))&gt;0,"H",""))</f>
        <v/>
      </c>
      <c r="AE6" s="14">
        <f>IF(AE$4="","",IF(COUNTIF('Year summary'!$A$30:$A$59,DATE('Year summary'!$B$3,12,30))&gt;0,"H",""))</f>
        <v/>
      </c>
      <c r="AF6" s="14">
        <f>IF(AF$4="","",IF(COUNTIF('Year summary'!$A$30:$A$59,DATE('Year summary'!$B$3,12,31))&gt;0,"H",""))</f>
        <v/>
      </c>
      <c r="AG6" s="15" t="inlineStr"/>
      <c r="AH6" s="15" t="inlineStr"/>
      <c r="AI6" s="15" t="inlineStr"/>
      <c r="AJ6" s="15" t="inlineStr"/>
      <c r="AK6" s="15" t="inlineStr"/>
    </row>
    <row r="7">
      <c r="A7" s="16">
        <f>IF('Year summary'!A7="","",'Year summary'!A7)</f>
        <v/>
      </c>
      <c r="B7" s="17" t="inlineStr"/>
      <c r="C7" s="17" t="inlineStr"/>
      <c r="D7" s="17" t="inlineStr"/>
      <c r="E7" s="17" t="inlineStr"/>
      <c r="F7" s="17" t="inlineStr"/>
      <c r="G7" s="17" t="inlineStr"/>
      <c r="H7" s="17" t="inlineStr"/>
      <c r="I7" s="17" t="inlineStr"/>
      <c r="J7" s="17" t="inlineStr"/>
      <c r="K7" s="17" t="inlineStr"/>
      <c r="L7" s="17" t="inlineStr"/>
      <c r="M7" s="17" t="inlineStr"/>
      <c r="N7" s="17" t="inlineStr"/>
      <c r="O7" s="17" t="inlineStr"/>
      <c r="P7" s="17" t="inlineStr"/>
      <c r="Q7" s="17" t="inlineStr"/>
      <c r="R7" s="17" t="inlineStr"/>
      <c r="S7" s="17" t="inlineStr"/>
      <c r="T7" s="17" t="inlineStr"/>
      <c r="U7" s="17" t="inlineStr"/>
      <c r="V7" s="17" t="inlineStr"/>
      <c r="W7" s="17" t="inlineStr"/>
      <c r="X7" s="17" t="inlineStr"/>
      <c r="Y7" s="17" t="inlineStr"/>
      <c r="Z7" s="17" t="inlineStr"/>
      <c r="AA7" s="17" t="inlineStr"/>
      <c r="AB7" s="17" t="inlineStr"/>
      <c r="AC7" s="17" t="inlineStr"/>
      <c r="AD7" s="17" t="inlineStr"/>
      <c r="AE7" s="17" t="inlineStr"/>
      <c r="AF7" s="17" t="inlineStr"/>
      <c r="AG7" s="8">
        <f>COUNTIF(B7:AF7,"V")</f>
        <v/>
      </c>
      <c r="AH7" s="8">
        <f>COUNTIF(B7:AF7,"S")</f>
        <v/>
      </c>
      <c r="AI7" s="8">
        <f>COUNTIF(B7:AF7,"P")</f>
        <v/>
      </c>
      <c r="AJ7" s="8">
        <f>COUNTIF(B7:AF7,"F")</f>
        <v/>
      </c>
      <c r="AK7" s="8">
        <f>COUNTIF(B7:AF7,"U")</f>
        <v/>
      </c>
    </row>
    <row r="8">
      <c r="A8" s="18">
        <f>IF('Year summary'!A8="","",'Year summary'!A8)</f>
        <v/>
      </c>
      <c r="B8" s="17" t="inlineStr"/>
      <c r="C8" s="17" t="inlineStr"/>
      <c r="D8" s="17" t="inlineStr"/>
      <c r="E8" s="17" t="inlineStr"/>
      <c r="F8" s="17" t="inlineStr"/>
      <c r="G8" s="17" t="inlineStr"/>
      <c r="H8" s="17" t="inlineStr"/>
      <c r="I8" s="17" t="inlineStr"/>
      <c r="J8" s="17" t="inlineStr"/>
      <c r="K8" s="17" t="inlineStr"/>
      <c r="L8" s="17" t="inlineStr"/>
      <c r="M8" s="17" t="inlineStr"/>
      <c r="N8" s="17" t="inlineStr"/>
      <c r="O8" s="17" t="inlineStr"/>
      <c r="P8" s="17" t="inlineStr"/>
      <c r="Q8" s="17" t="inlineStr"/>
      <c r="R8" s="17" t="inlineStr"/>
      <c r="S8" s="17" t="inlineStr"/>
      <c r="T8" s="17" t="inlineStr"/>
      <c r="U8" s="17" t="inlineStr"/>
      <c r="V8" s="17" t="inlineStr"/>
      <c r="W8" s="17" t="inlineStr"/>
      <c r="X8" s="17" t="inlineStr"/>
      <c r="Y8" s="17" t="inlineStr"/>
      <c r="Z8" s="17" t="inlineStr"/>
      <c r="AA8" s="17" t="inlineStr"/>
      <c r="AB8" s="17" t="inlineStr"/>
      <c r="AC8" s="17" t="inlineStr"/>
      <c r="AD8" s="17" t="inlineStr"/>
      <c r="AE8" s="17" t="inlineStr"/>
      <c r="AF8" s="17" t="inlineStr"/>
      <c r="AG8" s="8">
        <f>COUNTIF(B8:AF8,"V")</f>
        <v/>
      </c>
      <c r="AH8" s="8">
        <f>COUNTIF(B8:AF8,"S")</f>
        <v/>
      </c>
      <c r="AI8" s="8">
        <f>COUNTIF(B8:AF8,"P")</f>
        <v/>
      </c>
      <c r="AJ8" s="8">
        <f>COUNTIF(B8:AF8,"F")</f>
        <v/>
      </c>
      <c r="AK8" s="8">
        <f>COUNTIF(B8:AF8,"U")</f>
        <v/>
      </c>
    </row>
    <row r="9">
      <c r="A9" s="16">
        <f>IF('Year summary'!A9="","",'Year summary'!A9)</f>
        <v/>
      </c>
      <c r="B9" s="17" t="inlineStr"/>
      <c r="C9" s="17" t="inlineStr"/>
      <c r="D9" s="17" t="inlineStr"/>
      <c r="E9" s="17" t="inlineStr"/>
      <c r="F9" s="17" t="inlineStr"/>
      <c r="G9" s="17" t="inlineStr"/>
      <c r="H9" s="17" t="inlineStr"/>
      <c r="I9" s="17" t="inlineStr"/>
      <c r="J9" s="17" t="inlineStr"/>
      <c r="K9" s="17" t="inlineStr"/>
      <c r="L9" s="17" t="inlineStr"/>
      <c r="M9" s="17" t="inlineStr"/>
      <c r="N9" s="17" t="inlineStr"/>
      <c r="O9" s="17" t="inlineStr"/>
      <c r="P9" s="17" t="inlineStr"/>
      <c r="Q9" s="17" t="inlineStr"/>
      <c r="R9" s="17" t="inlineStr"/>
      <c r="S9" s="17" t="inlineStr"/>
      <c r="T9" s="17" t="inlineStr"/>
      <c r="U9" s="17" t="inlineStr"/>
      <c r="V9" s="17" t="inlineStr"/>
      <c r="W9" s="17" t="inlineStr"/>
      <c r="X9" s="17" t="inlineStr"/>
      <c r="Y9" s="17" t="inlineStr"/>
      <c r="Z9" s="17" t="inlineStr"/>
      <c r="AA9" s="17" t="inlineStr"/>
      <c r="AB9" s="17" t="inlineStr"/>
      <c r="AC9" s="17" t="inlineStr"/>
      <c r="AD9" s="17" t="inlineStr"/>
      <c r="AE9" s="17" t="inlineStr"/>
      <c r="AF9" s="17" t="inlineStr"/>
      <c r="AG9" s="8">
        <f>COUNTIF(B9:AF9,"V")</f>
        <v/>
      </c>
      <c r="AH9" s="8">
        <f>COUNTIF(B9:AF9,"S")</f>
        <v/>
      </c>
      <c r="AI9" s="8">
        <f>COUNTIF(B9:AF9,"P")</f>
        <v/>
      </c>
      <c r="AJ9" s="8">
        <f>COUNTIF(B9:AF9,"F")</f>
        <v/>
      </c>
      <c r="AK9" s="8">
        <f>COUNTIF(B9:AF9,"U")</f>
        <v/>
      </c>
    </row>
    <row r="10">
      <c r="A10" s="18">
        <f>IF('Year summary'!A10="","",'Year summary'!A10)</f>
        <v/>
      </c>
      <c r="B10" s="17" t="inlineStr"/>
      <c r="C10" s="17" t="inlineStr"/>
      <c r="D10" s="17" t="inlineStr"/>
      <c r="E10" s="17" t="inlineStr"/>
      <c r="F10" s="17" t="inlineStr"/>
      <c r="G10" s="17" t="inlineStr"/>
      <c r="H10" s="17" t="inlineStr"/>
      <c r="I10" s="17" t="inlineStr"/>
      <c r="J10" s="17" t="inlineStr"/>
      <c r="K10" s="17" t="inlineStr"/>
      <c r="L10" s="17" t="inlineStr"/>
      <c r="M10" s="17" t="inlineStr"/>
      <c r="N10" s="17" t="inlineStr"/>
      <c r="O10" s="17" t="inlineStr"/>
      <c r="P10" s="17" t="inlineStr"/>
      <c r="Q10" s="17" t="inlineStr"/>
      <c r="R10" s="17" t="inlineStr"/>
      <c r="S10" s="17" t="inlineStr"/>
      <c r="T10" s="17" t="inlineStr"/>
      <c r="U10" s="17" t="inlineStr"/>
      <c r="V10" s="17" t="inlineStr"/>
      <c r="W10" s="17" t="inlineStr"/>
      <c r="X10" s="17" t="inlineStr"/>
      <c r="Y10" s="17" t="inlineStr"/>
      <c r="Z10" s="17" t="inlineStr"/>
      <c r="AA10" s="17" t="inlineStr"/>
      <c r="AB10" s="17" t="inlineStr"/>
      <c r="AC10" s="17" t="inlineStr"/>
      <c r="AD10" s="17" t="inlineStr"/>
      <c r="AE10" s="17" t="inlineStr"/>
      <c r="AF10" s="17" t="inlineStr"/>
      <c r="AG10" s="8">
        <f>COUNTIF(B10:AF10,"V")</f>
        <v/>
      </c>
      <c r="AH10" s="8">
        <f>COUNTIF(B10:AF10,"S")</f>
        <v/>
      </c>
      <c r="AI10" s="8">
        <f>COUNTIF(B10:AF10,"P")</f>
        <v/>
      </c>
      <c r="AJ10" s="8">
        <f>COUNTIF(B10:AF10,"F")</f>
        <v/>
      </c>
      <c r="AK10" s="8">
        <f>COUNTIF(B10:AF10,"U")</f>
        <v/>
      </c>
    </row>
    <row r="11">
      <c r="A11" s="16">
        <f>IF('Year summary'!A11="","",'Year summary'!A11)</f>
        <v/>
      </c>
      <c r="B11" s="17" t="inlineStr"/>
      <c r="C11" s="17" t="inlineStr"/>
      <c r="D11" s="17" t="inlineStr"/>
      <c r="E11" s="17" t="inlineStr"/>
      <c r="F11" s="17" t="inlineStr"/>
      <c r="G11" s="17" t="inlineStr"/>
      <c r="H11" s="17" t="inlineStr"/>
      <c r="I11" s="17" t="inlineStr"/>
      <c r="J11" s="17" t="inlineStr"/>
      <c r="K11" s="17" t="inlineStr"/>
      <c r="L11" s="17" t="inlineStr"/>
      <c r="M11" s="17" t="inlineStr"/>
      <c r="N11" s="17" t="inlineStr"/>
      <c r="O11" s="17" t="inlineStr"/>
      <c r="P11" s="17" t="inlineStr"/>
      <c r="Q11" s="17" t="inlineStr"/>
      <c r="R11" s="17" t="inlineStr"/>
      <c r="S11" s="17" t="inlineStr"/>
      <c r="T11" s="17" t="inlineStr"/>
      <c r="U11" s="17" t="inlineStr"/>
      <c r="V11" s="17" t="inlineStr"/>
      <c r="W11" s="17" t="inlineStr"/>
      <c r="X11" s="17" t="inlineStr"/>
      <c r="Y11" s="17" t="inlineStr"/>
      <c r="Z11" s="17" t="inlineStr"/>
      <c r="AA11" s="17" t="inlineStr"/>
      <c r="AB11" s="17" t="inlineStr"/>
      <c r="AC11" s="17" t="inlineStr"/>
      <c r="AD11" s="17" t="inlineStr"/>
      <c r="AE11" s="17" t="inlineStr"/>
      <c r="AF11" s="17" t="inlineStr"/>
      <c r="AG11" s="8">
        <f>COUNTIF(B11:AF11,"V")</f>
        <v/>
      </c>
      <c r="AH11" s="8">
        <f>COUNTIF(B11:AF11,"S")</f>
        <v/>
      </c>
      <c r="AI11" s="8">
        <f>COUNTIF(B11:AF11,"P")</f>
        <v/>
      </c>
      <c r="AJ11" s="8">
        <f>COUNTIF(B11:AF11,"F")</f>
        <v/>
      </c>
      <c r="AK11" s="8">
        <f>COUNTIF(B11:AF11,"U")</f>
        <v/>
      </c>
    </row>
    <row r="12">
      <c r="A12" s="18">
        <f>IF('Year summary'!A12="","",'Year summary'!A12)</f>
        <v/>
      </c>
      <c r="B12" s="17" t="inlineStr"/>
      <c r="C12" s="17" t="inlineStr"/>
      <c r="D12" s="17" t="inlineStr"/>
      <c r="E12" s="17" t="inlineStr"/>
      <c r="F12" s="17" t="inlineStr"/>
      <c r="G12" s="17" t="inlineStr"/>
      <c r="H12" s="17" t="inlineStr"/>
      <c r="I12" s="17" t="inlineStr"/>
      <c r="J12" s="17" t="inlineStr"/>
      <c r="K12" s="17" t="inlineStr"/>
      <c r="L12" s="17" t="inlineStr"/>
      <c r="M12" s="17" t="inlineStr"/>
      <c r="N12" s="17" t="inlineStr"/>
      <c r="O12" s="17" t="inlineStr"/>
      <c r="P12" s="17" t="inlineStr"/>
      <c r="Q12" s="17" t="inlineStr"/>
      <c r="R12" s="17" t="inlineStr"/>
      <c r="S12" s="17" t="inlineStr"/>
      <c r="T12" s="17" t="inlineStr"/>
      <c r="U12" s="17" t="inlineStr"/>
      <c r="V12" s="17" t="inlineStr"/>
      <c r="W12" s="17" t="inlineStr"/>
      <c r="X12" s="17" t="inlineStr"/>
      <c r="Y12" s="17" t="inlineStr"/>
      <c r="Z12" s="17" t="inlineStr"/>
      <c r="AA12" s="17" t="inlineStr"/>
      <c r="AB12" s="17" t="inlineStr"/>
      <c r="AC12" s="17" t="inlineStr"/>
      <c r="AD12" s="17" t="inlineStr"/>
      <c r="AE12" s="17" t="inlineStr"/>
      <c r="AF12" s="17" t="inlineStr"/>
      <c r="AG12" s="8">
        <f>COUNTIF(B12:AF12,"V")</f>
        <v/>
      </c>
      <c r="AH12" s="8">
        <f>COUNTIF(B12:AF12,"S")</f>
        <v/>
      </c>
      <c r="AI12" s="8">
        <f>COUNTIF(B12:AF12,"P")</f>
        <v/>
      </c>
      <c r="AJ12" s="8">
        <f>COUNTIF(B12:AF12,"F")</f>
        <v/>
      </c>
      <c r="AK12" s="8">
        <f>COUNTIF(B12:AF12,"U")</f>
        <v/>
      </c>
    </row>
    <row r="13">
      <c r="A13" s="16">
        <f>IF('Year summary'!A13="","",'Year summary'!A13)</f>
        <v/>
      </c>
      <c r="B13" s="17" t="inlineStr"/>
      <c r="C13" s="17" t="inlineStr"/>
      <c r="D13" s="17" t="inlineStr"/>
      <c r="E13" s="17" t="inlineStr"/>
      <c r="F13" s="17" t="inlineStr"/>
      <c r="G13" s="17" t="inlineStr"/>
      <c r="H13" s="17" t="inlineStr"/>
      <c r="I13" s="17" t="inlineStr"/>
      <c r="J13" s="17" t="inlineStr"/>
      <c r="K13" s="17" t="inlineStr"/>
      <c r="L13" s="17" t="inlineStr"/>
      <c r="M13" s="17" t="inlineStr"/>
      <c r="N13" s="17" t="inlineStr"/>
      <c r="O13" s="17" t="inlineStr"/>
      <c r="P13" s="17" t="inlineStr"/>
      <c r="Q13" s="17" t="inlineStr"/>
      <c r="R13" s="17" t="inlineStr"/>
      <c r="S13" s="17" t="inlineStr"/>
      <c r="T13" s="17" t="inlineStr"/>
      <c r="U13" s="17" t="inlineStr"/>
      <c r="V13" s="17" t="inlineStr"/>
      <c r="W13" s="17" t="inlineStr"/>
      <c r="X13" s="17" t="inlineStr"/>
      <c r="Y13" s="17" t="inlineStr"/>
      <c r="Z13" s="17" t="inlineStr"/>
      <c r="AA13" s="17" t="inlineStr"/>
      <c r="AB13" s="17" t="inlineStr"/>
      <c r="AC13" s="17" t="inlineStr"/>
      <c r="AD13" s="17" t="inlineStr"/>
      <c r="AE13" s="17" t="inlineStr"/>
      <c r="AF13" s="17" t="inlineStr"/>
      <c r="AG13" s="8">
        <f>COUNTIF(B13:AF13,"V")</f>
        <v/>
      </c>
      <c r="AH13" s="8">
        <f>COUNTIF(B13:AF13,"S")</f>
        <v/>
      </c>
      <c r="AI13" s="8">
        <f>COUNTIF(B13:AF13,"P")</f>
        <v/>
      </c>
      <c r="AJ13" s="8">
        <f>COUNTIF(B13:AF13,"F")</f>
        <v/>
      </c>
      <c r="AK13" s="8">
        <f>COUNTIF(B13:AF13,"U")</f>
        <v/>
      </c>
    </row>
    <row r="14">
      <c r="A14" s="18">
        <f>IF('Year summary'!A14="","",'Year summary'!A14)</f>
        <v/>
      </c>
      <c r="B14" s="17" t="inlineStr"/>
      <c r="C14" s="17" t="inlineStr"/>
      <c r="D14" s="17" t="inlineStr"/>
      <c r="E14" s="17" t="inlineStr"/>
      <c r="F14" s="17" t="inlineStr"/>
      <c r="G14" s="17" t="inlineStr"/>
      <c r="H14" s="17" t="inlineStr"/>
      <c r="I14" s="17" t="inlineStr"/>
      <c r="J14" s="17" t="inlineStr"/>
      <c r="K14" s="17" t="inlineStr"/>
      <c r="L14" s="17" t="inlineStr"/>
      <c r="M14" s="17" t="inlineStr"/>
      <c r="N14" s="17" t="inlineStr"/>
      <c r="O14" s="17" t="inlineStr"/>
      <c r="P14" s="17" t="inlineStr"/>
      <c r="Q14" s="17" t="inlineStr"/>
      <c r="R14" s="17" t="inlineStr"/>
      <c r="S14" s="17" t="inlineStr"/>
      <c r="T14" s="17" t="inlineStr"/>
      <c r="U14" s="17" t="inlineStr"/>
      <c r="V14" s="17" t="inlineStr"/>
      <c r="W14" s="17" t="inlineStr"/>
      <c r="X14" s="17" t="inlineStr"/>
      <c r="Y14" s="17" t="inlineStr"/>
      <c r="Z14" s="17" t="inlineStr"/>
      <c r="AA14" s="17" t="inlineStr"/>
      <c r="AB14" s="17" t="inlineStr"/>
      <c r="AC14" s="17" t="inlineStr"/>
      <c r="AD14" s="17" t="inlineStr"/>
      <c r="AE14" s="17" t="inlineStr"/>
      <c r="AF14" s="17" t="inlineStr"/>
      <c r="AG14" s="8">
        <f>COUNTIF(B14:AF14,"V")</f>
        <v/>
      </c>
      <c r="AH14" s="8">
        <f>COUNTIF(B14:AF14,"S")</f>
        <v/>
      </c>
      <c r="AI14" s="8">
        <f>COUNTIF(B14:AF14,"P")</f>
        <v/>
      </c>
      <c r="AJ14" s="8">
        <f>COUNTIF(B14:AF14,"F")</f>
        <v/>
      </c>
      <c r="AK14" s="8">
        <f>COUNTIF(B14:AF14,"U")</f>
        <v/>
      </c>
    </row>
    <row r="15">
      <c r="A15" s="16">
        <f>IF('Year summary'!A15="","",'Year summary'!A15)</f>
        <v/>
      </c>
      <c r="B15" s="17" t="inlineStr"/>
      <c r="C15" s="17" t="inlineStr"/>
      <c r="D15" s="17" t="inlineStr"/>
      <c r="E15" s="17" t="inlineStr"/>
      <c r="F15" s="17" t="inlineStr"/>
      <c r="G15" s="17" t="inlineStr"/>
      <c r="H15" s="17" t="inlineStr"/>
      <c r="I15" s="17" t="inlineStr"/>
      <c r="J15" s="17" t="inlineStr"/>
      <c r="K15" s="17" t="inlineStr"/>
      <c r="L15" s="17" t="inlineStr"/>
      <c r="M15" s="17" t="inlineStr"/>
      <c r="N15" s="17" t="inlineStr"/>
      <c r="O15" s="17" t="inlineStr"/>
      <c r="P15" s="17" t="inlineStr"/>
      <c r="Q15" s="17" t="inlineStr"/>
      <c r="R15" s="17" t="inlineStr"/>
      <c r="S15" s="17" t="inlineStr"/>
      <c r="T15" s="17" t="inlineStr"/>
      <c r="U15" s="17" t="inlineStr"/>
      <c r="V15" s="17" t="inlineStr"/>
      <c r="W15" s="17" t="inlineStr"/>
      <c r="X15" s="17" t="inlineStr"/>
      <c r="Y15" s="17" t="inlineStr"/>
      <c r="Z15" s="17" t="inlineStr"/>
      <c r="AA15" s="17" t="inlineStr"/>
      <c r="AB15" s="17" t="inlineStr"/>
      <c r="AC15" s="17" t="inlineStr"/>
      <c r="AD15" s="17" t="inlineStr"/>
      <c r="AE15" s="17" t="inlineStr"/>
      <c r="AF15" s="17" t="inlineStr"/>
      <c r="AG15" s="8">
        <f>COUNTIF(B15:AF15,"V")</f>
        <v/>
      </c>
      <c r="AH15" s="8">
        <f>COUNTIF(B15:AF15,"S")</f>
        <v/>
      </c>
      <c r="AI15" s="8">
        <f>COUNTIF(B15:AF15,"P")</f>
        <v/>
      </c>
      <c r="AJ15" s="8">
        <f>COUNTIF(B15:AF15,"F")</f>
        <v/>
      </c>
      <c r="AK15" s="8">
        <f>COUNTIF(B15:AF15,"U")</f>
        <v/>
      </c>
    </row>
    <row r="16">
      <c r="A16" s="18">
        <f>IF('Year summary'!A16="","",'Year summary'!A16)</f>
        <v/>
      </c>
      <c r="B16" s="17" t="inlineStr"/>
      <c r="C16" s="17" t="inlineStr"/>
      <c r="D16" s="17" t="inlineStr"/>
      <c r="E16" s="17" t="inlineStr"/>
      <c r="F16" s="17" t="inlineStr"/>
      <c r="G16" s="17" t="inlineStr"/>
      <c r="H16" s="17" t="inlineStr"/>
      <c r="I16" s="17" t="inlineStr"/>
      <c r="J16" s="17" t="inlineStr"/>
      <c r="K16" s="17" t="inlineStr"/>
      <c r="L16" s="17" t="inlineStr"/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7" t="inlineStr"/>
      <c r="X16" s="17" t="inlineStr"/>
      <c r="Y16" s="17" t="inlineStr"/>
      <c r="Z16" s="17" t="inlineStr"/>
      <c r="AA16" s="17" t="inlineStr"/>
      <c r="AB16" s="17" t="inlineStr"/>
      <c r="AC16" s="17" t="inlineStr"/>
      <c r="AD16" s="17" t="inlineStr"/>
      <c r="AE16" s="17" t="inlineStr"/>
      <c r="AF16" s="17" t="inlineStr"/>
      <c r="AG16" s="8">
        <f>COUNTIF(B16:AF16,"V")</f>
        <v/>
      </c>
      <c r="AH16" s="8">
        <f>COUNTIF(B16:AF16,"S")</f>
        <v/>
      </c>
      <c r="AI16" s="8">
        <f>COUNTIF(B16:AF16,"P")</f>
        <v/>
      </c>
      <c r="AJ16" s="8">
        <f>COUNTIF(B16:AF16,"F")</f>
        <v/>
      </c>
      <c r="AK16" s="8">
        <f>COUNTIF(B16:AF16,"U")</f>
        <v/>
      </c>
    </row>
    <row r="17">
      <c r="A17" s="16">
        <f>IF('Year summary'!A17="","",'Year summary'!A17)</f>
        <v/>
      </c>
      <c r="B17" s="17" t="inlineStr"/>
      <c r="C17" s="17" t="inlineStr"/>
      <c r="D17" s="17" t="inlineStr"/>
      <c r="E17" s="17" t="inlineStr"/>
      <c r="F17" s="17" t="inlineStr"/>
      <c r="G17" s="17" t="inlineStr"/>
      <c r="H17" s="17" t="inlineStr"/>
      <c r="I17" s="17" t="inlineStr"/>
      <c r="J17" s="17" t="inlineStr"/>
      <c r="K17" s="17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7" t="inlineStr"/>
      <c r="X17" s="17" t="inlineStr"/>
      <c r="Y17" s="17" t="inlineStr"/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8">
        <f>COUNTIF(B17:AF17,"V")</f>
        <v/>
      </c>
      <c r="AH17" s="8">
        <f>COUNTIF(B17:AF17,"S")</f>
        <v/>
      </c>
      <c r="AI17" s="8">
        <f>COUNTIF(B17:AF17,"P")</f>
        <v/>
      </c>
      <c r="AJ17" s="8">
        <f>COUNTIF(B17:AF17,"F")</f>
        <v/>
      </c>
      <c r="AK17" s="8">
        <f>COUNTIF(B17:AF17,"U")</f>
        <v/>
      </c>
    </row>
    <row r="18">
      <c r="A18" s="18">
        <f>IF('Year summary'!A18="","",'Year summary'!A18)</f>
        <v/>
      </c>
      <c r="B18" s="17" t="inlineStr"/>
      <c r="C18" s="17" t="inlineStr"/>
      <c r="D18" s="17" t="inlineStr"/>
      <c r="E18" s="17" t="inlineStr"/>
      <c r="F18" s="17" t="inlineStr"/>
      <c r="G18" s="17" t="inlineStr"/>
      <c r="H18" s="17" t="inlineStr"/>
      <c r="I18" s="17" t="inlineStr"/>
      <c r="J18" s="17" t="inlineStr"/>
      <c r="K18" s="17" t="inlineStr"/>
      <c r="L18" s="17" t="inlineStr"/>
      <c r="M18" s="17" t="inlineStr"/>
      <c r="N18" s="17" t="inlineStr"/>
      <c r="O18" s="17" t="inlineStr"/>
      <c r="P18" s="17" t="inlineStr"/>
      <c r="Q18" s="17" t="inlineStr"/>
      <c r="R18" s="17" t="inlineStr"/>
      <c r="S18" s="17" t="inlineStr"/>
      <c r="T18" s="17" t="inlineStr"/>
      <c r="U18" s="17" t="inlineStr"/>
      <c r="V18" s="17" t="inlineStr"/>
      <c r="W18" s="17" t="inlineStr"/>
      <c r="X18" s="17" t="inlineStr"/>
      <c r="Y18" s="17" t="inlineStr"/>
      <c r="Z18" s="17" t="inlineStr"/>
      <c r="AA18" s="17" t="inlineStr"/>
      <c r="AB18" s="17" t="inlineStr"/>
      <c r="AC18" s="17" t="inlineStr"/>
      <c r="AD18" s="17" t="inlineStr"/>
      <c r="AE18" s="17" t="inlineStr"/>
      <c r="AF18" s="17" t="inlineStr"/>
      <c r="AG18" s="8">
        <f>COUNTIF(B18:AF18,"V")</f>
        <v/>
      </c>
      <c r="AH18" s="8">
        <f>COUNTIF(B18:AF18,"S")</f>
        <v/>
      </c>
      <c r="AI18" s="8">
        <f>COUNTIF(B18:AF18,"P")</f>
        <v/>
      </c>
      <c r="AJ18" s="8">
        <f>COUNTIF(B18:AF18,"F")</f>
        <v/>
      </c>
      <c r="AK18" s="8">
        <f>COUNTIF(B18:AF18,"U")</f>
        <v/>
      </c>
    </row>
    <row r="19">
      <c r="A19" s="16">
        <f>IF('Year summary'!A19="","",'Year summary'!A19)</f>
        <v/>
      </c>
      <c r="B19" s="17" t="inlineStr"/>
      <c r="C19" s="17" t="inlineStr"/>
      <c r="D19" s="17" t="inlineStr"/>
      <c r="E19" s="17" t="inlineStr"/>
      <c r="F19" s="17" t="inlineStr"/>
      <c r="G19" s="17" t="inlineStr"/>
      <c r="H19" s="17" t="inlineStr"/>
      <c r="I19" s="17" t="inlineStr"/>
      <c r="J19" s="17" t="inlineStr"/>
      <c r="K19" s="17" t="inlineStr"/>
      <c r="L19" s="17" t="inlineStr"/>
      <c r="M19" s="17" t="inlineStr"/>
      <c r="N19" s="17" t="inlineStr"/>
      <c r="O19" s="17" t="inlineStr"/>
      <c r="P19" s="17" t="inlineStr"/>
      <c r="Q19" s="17" t="inlineStr"/>
      <c r="R19" s="17" t="inlineStr"/>
      <c r="S19" s="17" t="inlineStr"/>
      <c r="T19" s="17" t="inlineStr"/>
      <c r="U19" s="17" t="inlineStr"/>
      <c r="V19" s="17" t="inlineStr"/>
      <c r="W19" s="17" t="inlineStr"/>
      <c r="X19" s="17" t="inlineStr"/>
      <c r="Y19" s="17" t="inlineStr"/>
      <c r="Z19" s="17" t="inlineStr"/>
      <c r="AA19" s="17" t="inlineStr"/>
      <c r="AB19" s="17" t="inlineStr"/>
      <c r="AC19" s="17" t="inlineStr"/>
      <c r="AD19" s="17" t="inlineStr"/>
      <c r="AE19" s="17" t="inlineStr"/>
      <c r="AF19" s="17" t="inlineStr"/>
      <c r="AG19" s="8">
        <f>COUNTIF(B19:AF19,"V")</f>
        <v/>
      </c>
      <c r="AH19" s="8">
        <f>COUNTIF(B19:AF19,"S")</f>
        <v/>
      </c>
      <c r="AI19" s="8">
        <f>COUNTIF(B19:AF19,"P")</f>
        <v/>
      </c>
      <c r="AJ19" s="8">
        <f>COUNTIF(B19:AF19,"F")</f>
        <v/>
      </c>
      <c r="AK19" s="8">
        <f>COUNTIF(B19:AF19,"U")</f>
        <v/>
      </c>
    </row>
    <row r="20">
      <c r="A20" s="18">
        <f>IF('Year summary'!A20="","",'Year summary'!A20)</f>
        <v/>
      </c>
      <c r="B20" s="17" t="inlineStr"/>
      <c r="C20" s="17" t="inlineStr"/>
      <c r="D20" s="17" t="inlineStr"/>
      <c r="E20" s="17" t="inlineStr"/>
      <c r="F20" s="17" t="inlineStr"/>
      <c r="G20" s="17" t="inlineStr"/>
      <c r="H20" s="17" t="inlineStr"/>
      <c r="I20" s="17" t="inlineStr"/>
      <c r="J20" s="17" t="inlineStr"/>
      <c r="K20" s="17" t="inlineStr"/>
      <c r="L20" s="17" t="inlineStr"/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7" t="inlineStr"/>
      <c r="X20" s="17" t="inlineStr"/>
      <c r="Y20" s="17" t="inlineStr"/>
      <c r="Z20" s="17" t="inlineStr"/>
      <c r="AA20" s="17" t="inlineStr"/>
      <c r="AB20" s="17" t="inlineStr"/>
      <c r="AC20" s="17" t="inlineStr"/>
      <c r="AD20" s="17" t="inlineStr"/>
      <c r="AE20" s="17" t="inlineStr"/>
      <c r="AF20" s="17" t="inlineStr"/>
      <c r="AG20" s="8">
        <f>COUNTIF(B20:AF20,"V")</f>
        <v/>
      </c>
      <c r="AH20" s="8">
        <f>COUNTIF(B20:AF20,"S")</f>
        <v/>
      </c>
      <c r="AI20" s="8">
        <f>COUNTIF(B20:AF20,"P")</f>
        <v/>
      </c>
      <c r="AJ20" s="8">
        <f>COUNTIF(B20:AF20,"F")</f>
        <v/>
      </c>
      <c r="AK20" s="8">
        <f>COUNTIF(B20:AF20,"U")</f>
        <v/>
      </c>
    </row>
    <row r="21">
      <c r="A21" s="16">
        <f>IF('Year summary'!A21="","",'Year summary'!A21)</f>
        <v/>
      </c>
      <c r="B21" s="17" t="inlineStr"/>
      <c r="C21" s="17" t="inlineStr"/>
      <c r="D21" s="17" t="inlineStr"/>
      <c r="E21" s="17" t="inlineStr"/>
      <c r="F21" s="17" t="inlineStr"/>
      <c r="G21" s="17" t="inlineStr"/>
      <c r="H21" s="17" t="inlineStr"/>
      <c r="I21" s="17" t="inlineStr"/>
      <c r="J21" s="17" t="inlineStr"/>
      <c r="K21" s="17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7" t="inlineStr"/>
      <c r="X21" s="17" t="inlineStr"/>
      <c r="Y21" s="17" t="inlineStr"/>
      <c r="Z21" s="17" t="inlineStr"/>
      <c r="AA21" s="17" t="inlineStr"/>
      <c r="AB21" s="17" t="inlineStr"/>
      <c r="AC21" s="17" t="inlineStr"/>
      <c r="AD21" s="17" t="inlineStr"/>
      <c r="AE21" s="17" t="inlineStr"/>
      <c r="AF21" s="17" t="inlineStr"/>
      <c r="AG21" s="8">
        <f>COUNTIF(B21:AF21,"V")</f>
        <v/>
      </c>
      <c r="AH21" s="8">
        <f>COUNTIF(B21:AF21,"S")</f>
        <v/>
      </c>
      <c r="AI21" s="8">
        <f>COUNTIF(B21:AF21,"P")</f>
        <v/>
      </c>
      <c r="AJ21" s="8">
        <f>COUNTIF(B21:AF21,"F")</f>
        <v/>
      </c>
      <c r="AK21" s="8">
        <f>COUNTIF(B21:AF21,"U")</f>
        <v/>
      </c>
    </row>
    <row r="22">
      <c r="A22" s="18">
        <f>IF('Year summary'!A22="","",'Year summary'!A22)</f>
        <v/>
      </c>
      <c r="B22" s="17" t="inlineStr"/>
      <c r="C22" s="17" t="inlineStr"/>
      <c r="D22" s="17" t="inlineStr"/>
      <c r="E22" s="17" t="inlineStr"/>
      <c r="F22" s="17" t="inlineStr"/>
      <c r="G22" s="17" t="inlineStr"/>
      <c r="H22" s="17" t="inlineStr"/>
      <c r="I22" s="17" t="inlineStr"/>
      <c r="J22" s="17" t="inlineStr"/>
      <c r="K22" s="17" t="inlineStr"/>
      <c r="L22" s="17" t="inlineStr"/>
      <c r="M22" s="17" t="inlineStr"/>
      <c r="N22" s="17" t="inlineStr"/>
      <c r="O22" s="17" t="inlineStr"/>
      <c r="P22" s="17" t="inlineStr"/>
      <c r="Q22" s="17" t="inlineStr"/>
      <c r="R22" s="17" t="inlineStr"/>
      <c r="S22" s="17" t="inlineStr"/>
      <c r="T22" s="17" t="inlineStr"/>
      <c r="U22" s="17" t="inlineStr"/>
      <c r="V22" s="17" t="inlineStr"/>
      <c r="W22" s="17" t="inlineStr"/>
      <c r="X22" s="17" t="inlineStr"/>
      <c r="Y22" s="17" t="inlineStr"/>
      <c r="Z22" s="17" t="inlineStr"/>
      <c r="AA22" s="17" t="inlineStr"/>
      <c r="AB22" s="17" t="inlineStr"/>
      <c r="AC22" s="17" t="inlineStr"/>
      <c r="AD22" s="17" t="inlineStr"/>
      <c r="AE22" s="17" t="inlineStr"/>
      <c r="AF22" s="17" t="inlineStr"/>
      <c r="AG22" s="8">
        <f>COUNTIF(B22:AF22,"V")</f>
        <v/>
      </c>
      <c r="AH22" s="8">
        <f>COUNTIF(B22:AF22,"S")</f>
        <v/>
      </c>
      <c r="AI22" s="8">
        <f>COUNTIF(B22:AF22,"P")</f>
        <v/>
      </c>
      <c r="AJ22" s="8">
        <f>COUNTIF(B22:AF22,"F")</f>
        <v/>
      </c>
      <c r="AK22" s="8">
        <f>COUNTIF(B22:AF22,"U")</f>
        <v/>
      </c>
    </row>
    <row r="23">
      <c r="A23" s="16">
        <f>IF('Year summary'!A23="","",'Year summary'!A23)</f>
        <v/>
      </c>
      <c r="B23" s="17" t="inlineStr"/>
      <c r="C23" s="17" t="inlineStr"/>
      <c r="D23" s="17" t="inlineStr"/>
      <c r="E23" s="17" t="inlineStr"/>
      <c r="F23" s="17" t="inlineStr"/>
      <c r="G23" s="17" t="inlineStr"/>
      <c r="H23" s="17" t="inlineStr"/>
      <c r="I23" s="17" t="inlineStr"/>
      <c r="J23" s="17" t="inlineStr"/>
      <c r="K23" s="17" t="inlineStr"/>
      <c r="L23" s="17" t="inlineStr"/>
      <c r="M23" s="17" t="inlineStr"/>
      <c r="N23" s="17" t="inlineStr"/>
      <c r="O23" s="17" t="inlineStr"/>
      <c r="P23" s="17" t="inlineStr"/>
      <c r="Q23" s="17" t="inlineStr"/>
      <c r="R23" s="17" t="inlineStr"/>
      <c r="S23" s="17" t="inlineStr"/>
      <c r="T23" s="17" t="inlineStr"/>
      <c r="U23" s="17" t="inlineStr"/>
      <c r="V23" s="17" t="inlineStr"/>
      <c r="W23" s="17" t="inlineStr"/>
      <c r="X23" s="17" t="inlineStr"/>
      <c r="Y23" s="17" t="inlineStr"/>
      <c r="Z23" s="17" t="inlineStr"/>
      <c r="AA23" s="17" t="inlineStr"/>
      <c r="AB23" s="17" t="inlineStr"/>
      <c r="AC23" s="17" t="inlineStr"/>
      <c r="AD23" s="17" t="inlineStr"/>
      <c r="AE23" s="17" t="inlineStr"/>
      <c r="AF23" s="17" t="inlineStr"/>
      <c r="AG23" s="8">
        <f>COUNTIF(B23:AF23,"V")</f>
        <v/>
      </c>
      <c r="AH23" s="8">
        <f>COUNTIF(B23:AF23,"S")</f>
        <v/>
      </c>
      <c r="AI23" s="8">
        <f>COUNTIF(B23:AF23,"P")</f>
        <v/>
      </c>
      <c r="AJ23" s="8">
        <f>COUNTIF(B23:AF23,"F")</f>
        <v/>
      </c>
      <c r="AK23" s="8">
        <f>COUNTIF(B23:AF23,"U")</f>
        <v/>
      </c>
    </row>
    <row r="24">
      <c r="A24" s="18">
        <f>IF('Year summary'!A24="","",'Year summary'!A24)</f>
        <v/>
      </c>
      <c r="B24" s="17" t="inlineStr"/>
      <c r="C24" s="17" t="inlineStr"/>
      <c r="D24" s="17" t="inlineStr"/>
      <c r="E24" s="17" t="inlineStr"/>
      <c r="F24" s="17" t="inlineStr"/>
      <c r="G24" s="17" t="inlineStr"/>
      <c r="H24" s="17" t="inlineStr"/>
      <c r="I24" s="17" t="inlineStr"/>
      <c r="J24" s="17" t="inlineStr"/>
      <c r="K24" s="17" t="inlineStr"/>
      <c r="L24" s="17" t="inlineStr"/>
      <c r="M24" s="17" t="inlineStr"/>
      <c r="N24" s="17" t="inlineStr"/>
      <c r="O24" s="17" t="inlineStr"/>
      <c r="P24" s="17" t="inlineStr"/>
      <c r="Q24" s="17" t="inlineStr"/>
      <c r="R24" s="17" t="inlineStr"/>
      <c r="S24" s="17" t="inlineStr"/>
      <c r="T24" s="17" t="inlineStr"/>
      <c r="U24" s="17" t="inlineStr"/>
      <c r="V24" s="17" t="inlineStr"/>
      <c r="W24" s="17" t="inlineStr"/>
      <c r="X24" s="17" t="inlineStr"/>
      <c r="Y24" s="17" t="inlineStr"/>
      <c r="Z24" s="17" t="inlineStr"/>
      <c r="AA24" s="17" t="inlineStr"/>
      <c r="AB24" s="17" t="inlineStr"/>
      <c r="AC24" s="17" t="inlineStr"/>
      <c r="AD24" s="17" t="inlineStr"/>
      <c r="AE24" s="17" t="inlineStr"/>
      <c r="AF24" s="17" t="inlineStr"/>
      <c r="AG24" s="8">
        <f>COUNTIF(B24:AF24,"V")</f>
        <v/>
      </c>
      <c r="AH24" s="8">
        <f>COUNTIF(B24:AF24,"S")</f>
        <v/>
      </c>
      <c r="AI24" s="8">
        <f>COUNTIF(B24:AF24,"P")</f>
        <v/>
      </c>
      <c r="AJ24" s="8">
        <f>COUNTIF(B24:AF24,"F")</f>
        <v/>
      </c>
      <c r="AK24" s="8">
        <f>COUNTIF(B24:AF24,"U")</f>
        <v/>
      </c>
    </row>
    <row r="25">
      <c r="A25" s="16">
        <f>IF('Year summary'!A25="","",'Year summary'!A25)</f>
        <v/>
      </c>
      <c r="B25" s="17" t="inlineStr"/>
      <c r="C25" s="17" t="inlineStr"/>
      <c r="D25" s="17" t="inlineStr"/>
      <c r="E25" s="17" t="inlineStr"/>
      <c r="F25" s="17" t="inlineStr"/>
      <c r="G25" s="17" t="inlineStr"/>
      <c r="H25" s="17" t="inlineStr"/>
      <c r="I25" s="17" t="inlineStr"/>
      <c r="J25" s="17" t="inlineStr"/>
      <c r="K25" s="17" t="inlineStr"/>
      <c r="L25" s="17" t="inlineStr"/>
      <c r="M25" s="17" t="inlineStr"/>
      <c r="N25" s="17" t="inlineStr"/>
      <c r="O25" s="17" t="inlineStr"/>
      <c r="P25" s="17" t="inlineStr"/>
      <c r="Q25" s="17" t="inlineStr"/>
      <c r="R25" s="17" t="inlineStr"/>
      <c r="S25" s="17" t="inlineStr"/>
      <c r="T25" s="17" t="inlineStr"/>
      <c r="U25" s="17" t="inlineStr"/>
      <c r="V25" s="17" t="inlineStr"/>
      <c r="W25" s="17" t="inlineStr"/>
      <c r="X25" s="17" t="inlineStr"/>
      <c r="Y25" s="17" t="inlineStr"/>
      <c r="Z25" s="17" t="inlineStr"/>
      <c r="AA25" s="17" t="inlineStr"/>
      <c r="AB25" s="17" t="inlineStr"/>
      <c r="AC25" s="17" t="inlineStr"/>
      <c r="AD25" s="17" t="inlineStr"/>
      <c r="AE25" s="17" t="inlineStr"/>
      <c r="AF25" s="17" t="inlineStr"/>
      <c r="AG25" s="8">
        <f>COUNTIF(B25:AF25,"V")</f>
        <v/>
      </c>
      <c r="AH25" s="8">
        <f>COUNTIF(B25:AF25,"S")</f>
        <v/>
      </c>
      <c r="AI25" s="8">
        <f>COUNTIF(B25:AF25,"P")</f>
        <v/>
      </c>
      <c r="AJ25" s="8">
        <f>COUNTIF(B25:AF25,"F")</f>
        <v/>
      </c>
      <c r="AK25" s="8">
        <f>COUNTIF(B25:AF25,"U")</f>
        <v/>
      </c>
    </row>
    <row r="26">
      <c r="A26" s="18">
        <f>IF('Year summary'!A26="","",'Year summary'!A26)</f>
        <v/>
      </c>
      <c r="B26" s="17" t="inlineStr"/>
      <c r="C26" s="17" t="inlineStr"/>
      <c r="D26" s="17" t="inlineStr"/>
      <c r="E26" s="17" t="inlineStr"/>
      <c r="F26" s="17" t="inlineStr"/>
      <c r="G26" s="17" t="inlineStr"/>
      <c r="H26" s="17" t="inlineStr"/>
      <c r="I26" s="17" t="inlineStr"/>
      <c r="J26" s="17" t="inlineStr"/>
      <c r="K26" s="17" t="inlineStr"/>
      <c r="L26" s="17" t="inlineStr"/>
      <c r="M26" s="17" t="inlineStr"/>
      <c r="N26" s="17" t="inlineStr"/>
      <c r="O26" s="17" t="inlineStr"/>
      <c r="P26" s="17" t="inlineStr"/>
      <c r="Q26" s="17" t="inlineStr"/>
      <c r="R26" s="17" t="inlineStr"/>
      <c r="S26" s="17" t="inlineStr"/>
      <c r="T26" s="17" t="inlineStr"/>
      <c r="U26" s="17" t="inlineStr"/>
      <c r="V26" s="17" t="inlineStr"/>
      <c r="W26" s="17" t="inlineStr"/>
      <c r="X26" s="17" t="inlineStr"/>
      <c r="Y26" s="17" t="inlineStr"/>
      <c r="Z26" s="17" t="inlineStr"/>
      <c r="AA26" s="17" t="inlineStr"/>
      <c r="AB26" s="17" t="inlineStr"/>
      <c r="AC26" s="17" t="inlineStr"/>
      <c r="AD26" s="17" t="inlineStr"/>
      <c r="AE26" s="17" t="inlineStr"/>
      <c r="AF26" s="17" t="inlineStr"/>
      <c r="AG26" s="8">
        <f>COUNTIF(B26:AF26,"V")</f>
        <v/>
      </c>
      <c r="AH26" s="8">
        <f>COUNTIF(B26:AF26,"S")</f>
        <v/>
      </c>
      <c r="AI26" s="8">
        <f>COUNTIF(B26:AF26,"P")</f>
        <v/>
      </c>
      <c r="AJ26" s="8">
        <f>COUNTIF(B26:AF26,"F")</f>
        <v/>
      </c>
      <c r="AK26" s="8">
        <f>COUNTIF(B26:AF26,"U")</f>
        <v/>
      </c>
    </row>
    <row r="27">
      <c r="A27" s="13" t="inlineStr">
        <is>
          <t>People off</t>
        </is>
      </c>
      <c r="B27" s="19">
        <f>IF(B$4="","",COUNTA(B7:B26))</f>
        <v/>
      </c>
      <c r="C27" s="19">
        <f>IF(C$4="","",COUNTA(C7:C26))</f>
        <v/>
      </c>
      <c r="D27" s="19">
        <f>IF(D$4="","",COUNTA(D7:D26))</f>
        <v/>
      </c>
      <c r="E27" s="19">
        <f>IF(E$4="","",COUNTA(E7:E26))</f>
        <v/>
      </c>
      <c r="F27" s="19">
        <f>IF(F$4="","",COUNTA(F7:F26))</f>
        <v/>
      </c>
      <c r="G27" s="19">
        <f>IF(G$4="","",COUNTA(G7:G26))</f>
        <v/>
      </c>
      <c r="H27" s="19">
        <f>IF(H$4="","",COUNTA(H7:H26))</f>
        <v/>
      </c>
      <c r="I27" s="19">
        <f>IF(I$4="","",COUNTA(I7:I26))</f>
        <v/>
      </c>
      <c r="J27" s="19">
        <f>IF(J$4="","",COUNTA(J7:J26))</f>
        <v/>
      </c>
      <c r="K27" s="19">
        <f>IF(K$4="","",COUNTA(K7:K26))</f>
        <v/>
      </c>
      <c r="L27" s="19">
        <f>IF(L$4="","",COUNTA(L7:L26))</f>
        <v/>
      </c>
      <c r="M27" s="19">
        <f>IF(M$4="","",COUNTA(M7:M26))</f>
        <v/>
      </c>
      <c r="N27" s="19">
        <f>IF(N$4="","",COUNTA(N7:N26))</f>
        <v/>
      </c>
      <c r="O27" s="19">
        <f>IF(O$4="","",COUNTA(O7:O26))</f>
        <v/>
      </c>
      <c r="P27" s="19">
        <f>IF(P$4="","",COUNTA(P7:P26))</f>
        <v/>
      </c>
      <c r="Q27" s="19">
        <f>IF(Q$4="","",COUNTA(Q7:Q26))</f>
        <v/>
      </c>
      <c r="R27" s="19">
        <f>IF(R$4="","",COUNTA(R7:R26))</f>
        <v/>
      </c>
      <c r="S27" s="19">
        <f>IF(S$4="","",COUNTA(S7:S26))</f>
        <v/>
      </c>
      <c r="T27" s="19">
        <f>IF(T$4="","",COUNTA(T7:T26))</f>
        <v/>
      </c>
      <c r="U27" s="19">
        <f>IF(U$4="","",COUNTA(U7:U26))</f>
        <v/>
      </c>
      <c r="V27" s="19">
        <f>IF(V$4="","",COUNTA(V7:V26))</f>
        <v/>
      </c>
      <c r="W27" s="19">
        <f>IF(W$4="","",COUNTA(W7:W26))</f>
        <v/>
      </c>
      <c r="X27" s="19">
        <f>IF(X$4="","",COUNTA(X7:X26))</f>
        <v/>
      </c>
      <c r="Y27" s="19">
        <f>IF(Y$4="","",COUNTA(Y7:Y26))</f>
        <v/>
      </c>
      <c r="Z27" s="19">
        <f>IF(Z$4="","",COUNTA(Z7:Z26))</f>
        <v/>
      </c>
      <c r="AA27" s="19">
        <f>IF(AA$4="","",COUNTA(AA7:AA26))</f>
        <v/>
      </c>
      <c r="AB27" s="19">
        <f>IF(AB$4="","",COUNTA(AB7:AB26))</f>
        <v/>
      </c>
      <c r="AC27" s="19">
        <f>IF(AC$4="","",COUNTA(AC7:AC26))</f>
        <v/>
      </c>
      <c r="AD27" s="19">
        <f>IF(AD$4="","",COUNTA(AD7:AD26))</f>
        <v/>
      </c>
      <c r="AE27" s="19">
        <f>IF(AE$4="","",COUNTA(AE7:AE26))</f>
        <v/>
      </c>
      <c r="AF27" s="19">
        <f>IF(AF$4="","",COUNTA(AF7:AF26))</f>
        <v/>
      </c>
    </row>
    <row r="29">
      <c r="A29" s="10" t="inlineStr">
        <is>
          <t>Codes: V = Vacation or PTO   S = Sick   P = Personal   F = FMLA or other leave   U = Unpaid. Weekends and company holidays are shaded. 'People off' turns red at 3 or more.</t>
        </is>
      </c>
    </row>
    <row r="31">
      <c r="A31" s="11" t="inlineStr">
        <is>
          <t>Free template from workzenly.com</t>
        </is>
      </c>
    </row>
  </sheetData>
  <conditionalFormatting sqref="B7:AF26">
    <cfRule type="expression" priority="1" dxfId="0" stopIfTrue="1">
      <formula>B$4=""</formula>
    </cfRule>
    <cfRule type="expression" priority="2" dxfId="1">
      <formula>UPPER(B7)="V"</formula>
    </cfRule>
    <cfRule type="expression" priority="3" dxfId="1">
      <formula>UPPER(B7)="P"</formula>
    </cfRule>
    <cfRule type="expression" priority="4" dxfId="2">
      <formula>UPPER(B7)="S"</formula>
    </cfRule>
    <cfRule type="expression" priority="5" dxfId="3">
      <formula>UPPER(B7)="F"</formula>
    </cfRule>
    <cfRule type="expression" priority="6" dxfId="4">
      <formula>UPPER(B7)="U"</formula>
    </cfRule>
    <cfRule type="expression" priority="7" dxfId="5">
      <formula>OR(B$5="Sa",B$5="Su",B$6="H")</formula>
    </cfRule>
  </conditionalFormatting>
  <conditionalFormatting sqref="B27:AF27">
    <cfRule type="expression" priority="8" dxfId="2">
      <formula>AND(B27&lt;&gt;"",B27&gt;=3)</formula>
    </cfRule>
  </conditionalFormatting>
  <dataValidations count="1">
    <dataValidation sqref="B7:AF26" showDropDown="0" showInputMessage="0" showErrorMessage="0" allowBlank="1" error="Pick a value from the list or clear the cell." type="list">
      <formula1>"V,S,P,F,U"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2026-11-07T10:47:08Z</dcterms:created>
  <dcterms:modified xmlns:dcterms="http://purl.org/dc/terms/" xmlns:xsi="http://www.w3.org/2001/XMLSchema-instance" xsi:type="dcterms:W3CDTF">2026-11-07T10:47:09Z</dcterms:modified>
</cp:coreProperties>
</file>